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.Roehlen\Desktop\"/>
    </mc:Choice>
  </mc:AlternateContent>
  <xr:revisionPtr revIDLastSave="0" documentId="13_ncr:1_{68A1F659-2816-49EE-AFED-9FEB5AEB2667}" xr6:coauthVersionLast="47" xr6:coauthVersionMax="47" xr10:uidLastSave="{00000000-0000-0000-0000-000000000000}"/>
  <workbookProtection workbookAlgorithmName="SHA-512" workbookHashValue="gd5JQ6xDXXl4LFg12S2ZZnBbKffKq0yxJ5V+SuHdGirA0LRvJDREgptwHV2v3s5LzlJHDQXKqUmf/4iQEsB/Sg==" workbookSaltValue="b/sC6OC6mpijCGEZz2yccA==" workbookSpinCount="100000" lockStructure="1"/>
  <bookViews>
    <workbookView xWindow="33870" yWindow="3810" windowWidth="31275" windowHeight="17790" tabRatio="928" xr2:uid="{48CE60FC-2923-4502-941B-CE5045E83385}"/>
  </bookViews>
  <sheets>
    <sheet name="START" sheetId="75" r:id="rId1"/>
    <sheet name="YOSIMA, CLAYFIX etc." sheetId="92" r:id="rId2"/>
    <sheet name="Lehmputz" sheetId="70" r:id="rId3"/>
    <sheet name="LBP Beplank." sheetId="68" r:id="rId4"/>
    <sheet name="HFA Beplank." sheetId="83" r:id="rId5"/>
    <sheet name="LBP+HFA Bekleid." sheetId="82" r:id="rId6"/>
    <sheet name="FW Lehmsteine" sheetId="87" r:id="rId7"/>
    <sheet name="FW Flechtwerk" sheetId="86" r:id="rId8"/>
    <sheet name="Kalkputz" sheetId="81" r:id="rId9"/>
    <sheet name="Innend. HFD" sheetId="84" r:id="rId10"/>
    <sheet name="Innend. Leicht, LL-Steine" sheetId="88" r:id="rId11"/>
    <sheet name="Mauerwerk" sheetId="89" r:id="rId12"/>
    <sheet name="ZUSAMMENSTELLUNG" sheetId="91" r:id="rId13"/>
    <sheet name="Tabelle3" sheetId="95" r:id="rId14"/>
    <sheet name="Tabelle1" sheetId="94" r:id="rId15"/>
    <sheet name="Fläche-Volumen" sheetId="76" r:id="rId16"/>
    <sheet name="Befestigungsmittel" sheetId="90" r:id="rId17"/>
    <sheet name="Tabelle2" sheetId="93" r:id="rId18"/>
  </sheets>
  <definedNames>
    <definedName name="_xlnm._FilterDatabase" localSheetId="11" hidden="1">Mauerwerk!$B$1:$O$22</definedName>
    <definedName name="_xlnm._FilterDatabase" localSheetId="12" hidden="1">ZUSAMMENSTELLUNG!$E$2:$O$183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68" l="1"/>
  <c r="V11" i="68"/>
  <c r="V15" i="68"/>
  <c r="V16" i="68"/>
  <c r="I17" i="83"/>
  <c r="I18" i="83"/>
  <c r="L16" i="83"/>
  <c r="I16" i="83"/>
  <c r="E194" i="91"/>
  <c r="F194" i="91"/>
  <c r="G194" i="91"/>
  <c r="H194" i="91"/>
  <c r="I194" i="91"/>
  <c r="J194" i="91"/>
  <c r="M194" i="91"/>
  <c r="N194" i="91"/>
  <c r="O194" i="91"/>
  <c r="E195" i="91"/>
  <c r="F195" i="91"/>
  <c r="G195" i="91"/>
  <c r="H195" i="91"/>
  <c r="I195" i="91"/>
  <c r="J195" i="91"/>
  <c r="M195" i="91"/>
  <c r="N195" i="91"/>
  <c r="O195" i="91"/>
  <c r="E196" i="91"/>
  <c r="F196" i="91"/>
  <c r="G196" i="91"/>
  <c r="H196" i="91"/>
  <c r="I196" i="91"/>
  <c r="J196" i="91"/>
  <c r="M196" i="91"/>
  <c r="N196" i="91"/>
  <c r="O196" i="91"/>
  <c r="E197" i="91"/>
  <c r="F197" i="91"/>
  <c r="G197" i="91"/>
  <c r="H197" i="91"/>
  <c r="I197" i="91"/>
  <c r="J197" i="91"/>
  <c r="M197" i="91"/>
  <c r="N197" i="91"/>
  <c r="O197" i="91"/>
  <c r="E198" i="91"/>
  <c r="F198" i="91"/>
  <c r="G198" i="91"/>
  <c r="H198" i="91"/>
  <c r="I198" i="91"/>
  <c r="J198" i="91"/>
  <c r="M198" i="91"/>
  <c r="N198" i="91"/>
  <c r="O198" i="91"/>
  <c r="E199" i="91"/>
  <c r="F199" i="91"/>
  <c r="G199" i="91"/>
  <c r="H199" i="91"/>
  <c r="I199" i="91"/>
  <c r="J199" i="91"/>
  <c r="M199" i="91"/>
  <c r="N199" i="91"/>
  <c r="O199" i="91"/>
  <c r="E200" i="91"/>
  <c r="F200" i="91"/>
  <c r="G200" i="91"/>
  <c r="H200" i="91"/>
  <c r="I200" i="91"/>
  <c r="J200" i="91"/>
  <c r="M200" i="91"/>
  <c r="N200" i="91"/>
  <c r="O200" i="91"/>
  <c r="E201" i="91"/>
  <c r="F201" i="91"/>
  <c r="G201" i="91"/>
  <c r="H201" i="91"/>
  <c r="I201" i="91"/>
  <c r="J201" i="91"/>
  <c r="M201" i="91"/>
  <c r="N201" i="91"/>
  <c r="O201" i="91"/>
  <c r="E202" i="91"/>
  <c r="F202" i="91"/>
  <c r="G202" i="91"/>
  <c r="H202" i="91"/>
  <c r="I202" i="91"/>
  <c r="J202" i="91"/>
  <c r="M202" i="91"/>
  <c r="N202" i="91"/>
  <c r="O202" i="91"/>
  <c r="E203" i="91"/>
  <c r="F203" i="91"/>
  <c r="G203" i="91"/>
  <c r="H203" i="91"/>
  <c r="I203" i="91"/>
  <c r="J203" i="91"/>
  <c r="M203" i="91"/>
  <c r="N203" i="91"/>
  <c r="O203" i="91"/>
  <c r="E204" i="91"/>
  <c r="F204" i="91"/>
  <c r="G204" i="91"/>
  <c r="H204" i="91"/>
  <c r="I204" i="91"/>
  <c r="J204" i="91"/>
  <c r="M204" i="91"/>
  <c r="N204" i="91"/>
  <c r="O204" i="91"/>
  <c r="E205" i="91"/>
  <c r="F205" i="91"/>
  <c r="G205" i="91"/>
  <c r="H205" i="91"/>
  <c r="I205" i="91"/>
  <c r="J205" i="91"/>
  <c r="M205" i="91"/>
  <c r="N205" i="91"/>
  <c r="O205" i="91"/>
  <c r="E206" i="91"/>
  <c r="F206" i="91"/>
  <c r="G206" i="91"/>
  <c r="H206" i="91"/>
  <c r="I206" i="91"/>
  <c r="J206" i="91"/>
  <c r="M206" i="91"/>
  <c r="N206" i="91"/>
  <c r="O206" i="91"/>
  <c r="E207" i="91"/>
  <c r="F207" i="91"/>
  <c r="G207" i="91"/>
  <c r="H207" i="91"/>
  <c r="I207" i="91"/>
  <c r="J207" i="91"/>
  <c r="M207" i="91"/>
  <c r="N207" i="91"/>
  <c r="O207" i="91"/>
  <c r="O193" i="91"/>
  <c r="N193" i="91"/>
  <c r="M193" i="91"/>
  <c r="F193" i="91"/>
  <c r="G193" i="91"/>
  <c r="H193" i="91"/>
  <c r="I193" i="91"/>
  <c r="J193" i="91"/>
  <c r="E193" i="91"/>
  <c r="O180" i="91"/>
  <c r="O181" i="91"/>
  <c r="O182" i="91"/>
  <c r="O183" i="91"/>
  <c r="O184" i="91"/>
  <c r="O185" i="91"/>
  <c r="O186" i="91"/>
  <c r="O187" i="91"/>
  <c r="O188" i="91"/>
  <c r="O189" i="91"/>
  <c r="O190" i="91"/>
  <c r="O191" i="91"/>
  <c r="O192" i="91"/>
  <c r="O179" i="91"/>
  <c r="E180" i="91"/>
  <c r="F180" i="91"/>
  <c r="G180" i="91"/>
  <c r="H180" i="91"/>
  <c r="I180" i="91"/>
  <c r="J180" i="91"/>
  <c r="M180" i="91"/>
  <c r="N180" i="91"/>
  <c r="E181" i="91"/>
  <c r="F181" i="91"/>
  <c r="G181" i="91"/>
  <c r="H181" i="91"/>
  <c r="I181" i="91"/>
  <c r="J181" i="91"/>
  <c r="M181" i="91"/>
  <c r="N181" i="91"/>
  <c r="E182" i="91"/>
  <c r="F182" i="91"/>
  <c r="G182" i="91"/>
  <c r="H182" i="91"/>
  <c r="I182" i="91"/>
  <c r="J182" i="91"/>
  <c r="M182" i="91"/>
  <c r="N182" i="91"/>
  <c r="E183" i="91"/>
  <c r="F183" i="91"/>
  <c r="G183" i="91"/>
  <c r="H183" i="91"/>
  <c r="I183" i="91"/>
  <c r="J183" i="91"/>
  <c r="M183" i="91"/>
  <c r="N183" i="91"/>
  <c r="E184" i="91"/>
  <c r="F184" i="91"/>
  <c r="G184" i="91"/>
  <c r="H184" i="91"/>
  <c r="I184" i="91"/>
  <c r="J184" i="91"/>
  <c r="M184" i="91"/>
  <c r="N184" i="91"/>
  <c r="E185" i="91"/>
  <c r="F185" i="91"/>
  <c r="G185" i="91"/>
  <c r="H185" i="91"/>
  <c r="I185" i="91"/>
  <c r="J185" i="91"/>
  <c r="M185" i="91"/>
  <c r="N185" i="91"/>
  <c r="E186" i="91"/>
  <c r="F186" i="91"/>
  <c r="G186" i="91"/>
  <c r="H186" i="91"/>
  <c r="I186" i="91"/>
  <c r="J186" i="91"/>
  <c r="M186" i="91"/>
  <c r="N186" i="91"/>
  <c r="E187" i="91"/>
  <c r="F187" i="91"/>
  <c r="G187" i="91"/>
  <c r="H187" i="91"/>
  <c r="I187" i="91"/>
  <c r="J187" i="91"/>
  <c r="M187" i="91"/>
  <c r="N187" i="91"/>
  <c r="E188" i="91"/>
  <c r="F188" i="91"/>
  <c r="G188" i="91"/>
  <c r="H188" i="91"/>
  <c r="I188" i="91"/>
  <c r="J188" i="91"/>
  <c r="M188" i="91"/>
  <c r="N188" i="91"/>
  <c r="E189" i="91"/>
  <c r="F189" i="91"/>
  <c r="G189" i="91"/>
  <c r="H189" i="91"/>
  <c r="I189" i="91"/>
  <c r="J189" i="91"/>
  <c r="M189" i="91"/>
  <c r="N189" i="91"/>
  <c r="E190" i="91"/>
  <c r="F190" i="91"/>
  <c r="G190" i="91"/>
  <c r="H190" i="91"/>
  <c r="I190" i="91"/>
  <c r="J190" i="91"/>
  <c r="M190" i="91"/>
  <c r="N190" i="91"/>
  <c r="E191" i="91"/>
  <c r="F191" i="91"/>
  <c r="G191" i="91"/>
  <c r="H191" i="91"/>
  <c r="I191" i="91"/>
  <c r="J191" i="91"/>
  <c r="M191" i="91"/>
  <c r="N191" i="91"/>
  <c r="E192" i="91"/>
  <c r="F192" i="91"/>
  <c r="G192" i="91"/>
  <c r="H192" i="91"/>
  <c r="I192" i="91"/>
  <c r="J192" i="91"/>
  <c r="M192" i="91"/>
  <c r="N192" i="91"/>
  <c r="F179" i="91"/>
  <c r="G179" i="91"/>
  <c r="H179" i="91"/>
  <c r="I179" i="91"/>
  <c r="J179" i="91"/>
  <c r="E179" i="91"/>
  <c r="E178" i="91"/>
  <c r="F178" i="91"/>
  <c r="G178" i="91"/>
  <c r="H178" i="91"/>
  <c r="I178" i="91"/>
  <c r="J178" i="91"/>
  <c r="M178" i="91"/>
  <c r="N178" i="91"/>
  <c r="O178" i="91"/>
  <c r="E147" i="91"/>
  <c r="F147" i="91"/>
  <c r="G147" i="91"/>
  <c r="H147" i="91"/>
  <c r="I147" i="91"/>
  <c r="J147" i="91"/>
  <c r="M147" i="91"/>
  <c r="N147" i="91"/>
  <c r="O147" i="91"/>
  <c r="E148" i="91"/>
  <c r="F148" i="91"/>
  <c r="G148" i="91"/>
  <c r="H148" i="91"/>
  <c r="I148" i="91"/>
  <c r="J148" i="91"/>
  <c r="M148" i="91"/>
  <c r="N148" i="91"/>
  <c r="O148" i="91"/>
  <c r="E149" i="91"/>
  <c r="F149" i="91"/>
  <c r="G149" i="91"/>
  <c r="H149" i="91"/>
  <c r="I149" i="91"/>
  <c r="J149" i="91"/>
  <c r="M149" i="91"/>
  <c r="N149" i="91"/>
  <c r="O149" i="91"/>
  <c r="E150" i="91"/>
  <c r="F150" i="91"/>
  <c r="G150" i="91"/>
  <c r="H150" i="91"/>
  <c r="I150" i="91"/>
  <c r="J150" i="91"/>
  <c r="M150" i="91"/>
  <c r="N150" i="91"/>
  <c r="O150" i="91"/>
  <c r="E151" i="91"/>
  <c r="F151" i="91"/>
  <c r="G151" i="91"/>
  <c r="H151" i="91"/>
  <c r="I151" i="91"/>
  <c r="J151" i="91"/>
  <c r="M151" i="91"/>
  <c r="N151" i="91"/>
  <c r="O151" i="91"/>
  <c r="E152" i="91"/>
  <c r="F152" i="91"/>
  <c r="G152" i="91"/>
  <c r="H152" i="91"/>
  <c r="I152" i="91"/>
  <c r="J152" i="91"/>
  <c r="M152" i="91"/>
  <c r="N152" i="91"/>
  <c r="O152" i="91"/>
  <c r="E153" i="91"/>
  <c r="F153" i="91"/>
  <c r="G153" i="91"/>
  <c r="H153" i="91"/>
  <c r="I153" i="91"/>
  <c r="J153" i="91"/>
  <c r="M153" i="91"/>
  <c r="N153" i="91"/>
  <c r="O153" i="91"/>
  <c r="E154" i="91"/>
  <c r="F154" i="91"/>
  <c r="G154" i="91"/>
  <c r="H154" i="91"/>
  <c r="I154" i="91"/>
  <c r="J154" i="91"/>
  <c r="M154" i="91"/>
  <c r="N154" i="91"/>
  <c r="O154" i="91"/>
  <c r="E155" i="91"/>
  <c r="F155" i="91"/>
  <c r="G155" i="91"/>
  <c r="H155" i="91"/>
  <c r="I155" i="91"/>
  <c r="J155" i="91"/>
  <c r="M155" i="91"/>
  <c r="N155" i="91"/>
  <c r="O155" i="91"/>
  <c r="E156" i="91"/>
  <c r="F156" i="91"/>
  <c r="G156" i="91"/>
  <c r="H156" i="91"/>
  <c r="I156" i="91"/>
  <c r="J156" i="91"/>
  <c r="M156" i="91"/>
  <c r="N156" i="91"/>
  <c r="O156" i="91"/>
  <c r="E157" i="91"/>
  <c r="F157" i="91"/>
  <c r="G157" i="91"/>
  <c r="H157" i="91"/>
  <c r="I157" i="91"/>
  <c r="J157" i="91"/>
  <c r="M157" i="91"/>
  <c r="N157" i="91"/>
  <c r="O157" i="91"/>
  <c r="E158" i="91"/>
  <c r="F158" i="91"/>
  <c r="G158" i="91"/>
  <c r="H158" i="91"/>
  <c r="I158" i="91"/>
  <c r="J158" i="91"/>
  <c r="M158" i="91"/>
  <c r="N158" i="91"/>
  <c r="O158" i="91"/>
  <c r="E159" i="91"/>
  <c r="F159" i="91"/>
  <c r="G159" i="91"/>
  <c r="H159" i="91"/>
  <c r="I159" i="91"/>
  <c r="J159" i="91"/>
  <c r="M159" i="91"/>
  <c r="N159" i="91"/>
  <c r="O159" i="91"/>
  <c r="E160" i="91"/>
  <c r="F160" i="91"/>
  <c r="G160" i="91"/>
  <c r="H160" i="91"/>
  <c r="I160" i="91"/>
  <c r="J160" i="91"/>
  <c r="M160" i="91"/>
  <c r="N160" i="91"/>
  <c r="O160" i="91"/>
  <c r="E161" i="91"/>
  <c r="F161" i="91"/>
  <c r="G161" i="91"/>
  <c r="H161" i="91"/>
  <c r="I161" i="91"/>
  <c r="J161" i="91"/>
  <c r="M161" i="91"/>
  <c r="N161" i="91"/>
  <c r="O161" i="91"/>
  <c r="E162" i="91"/>
  <c r="F162" i="91"/>
  <c r="G162" i="91"/>
  <c r="H162" i="91"/>
  <c r="I162" i="91"/>
  <c r="J162" i="91"/>
  <c r="M162" i="91"/>
  <c r="N162" i="91"/>
  <c r="O162" i="91"/>
  <c r="E163" i="91"/>
  <c r="F163" i="91"/>
  <c r="G163" i="91"/>
  <c r="H163" i="91"/>
  <c r="I163" i="91"/>
  <c r="J163" i="91"/>
  <c r="M163" i="91"/>
  <c r="N163" i="91"/>
  <c r="O163" i="91"/>
  <c r="E164" i="91"/>
  <c r="F164" i="91"/>
  <c r="G164" i="91"/>
  <c r="H164" i="91"/>
  <c r="I164" i="91"/>
  <c r="J164" i="91"/>
  <c r="M164" i="91"/>
  <c r="N164" i="91"/>
  <c r="O164" i="91"/>
  <c r="E165" i="91"/>
  <c r="F165" i="91"/>
  <c r="G165" i="91"/>
  <c r="H165" i="91"/>
  <c r="I165" i="91"/>
  <c r="J165" i="91"/>
  <c r="M165" i="91"/>
  <c r="N165" i="91"/>
  <c r="O165" i="91"/>
  <c r="E166" i="91"/>
  <c r="F166" i="91"/>
  <c r="G166" i="91"/>
  <c r="H166" i="91"/>
  <c r="I166" i="91"/>
  <c r="J166" i="91"/>
  <c r="M166" i="91"/>
  <c r="N166" i="91"/>
  <c r="O166" i="91"/>
  <c r="E167" i="91"/>
  <c r="F167" i="91"/>
  <c r="G167" i="91"/>
  <c r="H167" i="91"/>
  <c r="I167" i="91"/>
  <c r="J167" i="91"/>
  <c r="M167" i="91"/>
  <c r="N167" i="91"/>
  <c r="O167" i="91"/>
  <c r="E168" i="91"/>
  <c r="F168" i="91"/>
  <c r="G168" i="91"/>
  <c r="H168" i="91"/>
  <c r="I168" i="91"/>
  <c r="J168" i="91"/>
  <c r="M168" i="91"/>
  <c r="N168" i="91"/>
  <c r="O168" i="91"/>
  <c r="E169" i="91"/>
  <c r="F169" i="91"/>
  <c r="G169" i="91"/>
  <c r="H169" i="91"/>
  <c r="I169" i="91"/>
  <c r="J169" i="91"/>
  <c r="M169" i="91"/>
  <c r="N169" i="91"/>
  <c r="O169" i="91"/>
  <c r="E170" i="91"/>
  <c r="F170" i="91"/>
  <c r="G170" i="91"/>
  <c r="H170" i="91"/>
  <c r="I170" i="91"/>
  <c r="J170" i="91"/>
  <c r="M170" i="91"/>
  <c r="N170" i="91"/>
  <c r="O170" i="91"/>
  <c r="E171" i="91"/>
  <c r="F171" i="91"/>
  <c r="G171" i="91"/>
  <c r="H171" i="91"/>
  <c r="I171" i="91"/>
  <c r="J171" i="91"/>
  <c r="M171" i="91"/>
  <c r="N171" i="91"/>
  <c r="O171" i="91"/>
  <c r="E172" i="91"/>
  <c r="F172" i="91"/>
  <c r="G172" i="91"/>
  <c r="H172" i="91"/>
  <c r="I172" i="91"/>
  <c r="J172" i="91"/>
  <c r="M172" i="91"/>
  <c r="N172" i="91"/>
  <c r="O172" i="91"/>
  <c r="E173" i="91"/>
  <c r="F173" i="91"/>
  <c r="G173" i="91"/>
  <c r="H173" i="91"/>
  <c r="I173" i="91"/>
  <c r="J173" i="91"/>
  <c r="M173" i="91"/>
  <c r="N173" i="91"/>
  <c r="O173" i="91"/>
  <c r="E174" i="91"/>
  <c r="F174" i="91"/>
  <c r="G174" i="91"/>
  <c r="H174" i="91"/>
  <c r="I174" i="91"/>
  <c r="J174" i="91"/>
  <c r="M174" i="91"/>
  <c r="N174" i="91"/>
  <c r="O174" i="91"/>
  <c r="E175" i="91"/>
  <c r="F175" i="91"/>
  <c r="G175" i="91"/>
  <c r="H175" i="91"/>
  <c r="I175" i="91"/>
  <c r="J175" i="91"/>
  <c r="M175" i="91"/>
  <c r="N175" i="91"/>
  <c r="O175" i="91"/>
  <c r="E176" i="91"/>
  <c r="F176" i="91"/>
  <c r="G176" i="91"/>
  <c r="H176" i="91"/>
  <c r="I176" i="91"/>
  <c r="J176" i="91"/>
  <c r="M176" i="91"/>
  <c r="N176" i="91"/>
  <c r="O176" i="91"/>
  <c r="E177" i="91"/>
  <c r="F177" i="91"/>
  <c r="G177" i="91"/>
  <c r="H177" i="91"/>
  <c r="I177" i="91"/>
  <c r="J177" i="91"/>
  <c r="M177" i="91"/>
  <c r="N177" i="91"/>
  <c r="O177" i="91"/>
  <c r="O146" i="91"/>
  <c r="N146" i="91"/>
  <c r="M146" i="91"/>
  <c r="F146" i="91"/>
  <c r="G146" i="91"/>
  <c r="H146" i="91"/>
  <c r="I146" i="91"/>
  <c r="J146" i="91"/>
  <c r="E146" i="91"/>
  <c r="E137" i="91"/>
  <c r="F137" i="91"/>
  <c r="G137" i="91"/>
  <c r="H137" i="91"/>
  <c r="I137" i="91"/>
  <c r="J137" i="91"/>
  <c r="M137" i="91"/>
  <c r="N137" i="91"/>
  <c r="O137" i="91"/>
  <c r="E138" i="91"/>
  <c r="F138" i="91"/>
  <c r="G138" i="91"/>
  <c r="H138" i="91"/>
  <c r="I138" i="91"/>
  <c r="J138" i="91"/>
  <c r="M138" i="91"/>
  <c r="N138" i="91"/>
  <c r="O138" i="91"/>
  <c r="E139" i="91"/>
  <c r="F139" i="91"/>
  <c r="G139" i="91"/>
  <c r="H139" i="91"/>
  <c r="I139" i="91"/>
  <c r="J139" i="91"/>
  <c r="M139" i="91"/>
  <c r="N139" i="91"/>
  <c r="O139" i="91"/>
  <c r="E140" i="91"/>
  <c r="F140" i="91"/>
  <c r="G140" i="91"/>
  <c r="H140" i="91"/>
  <c r="I140" i="91"/>
  <c r="J140" i="91"/>
  <c r="M140" i="91"/>
  <c r="N140" i="91"/>
  <c r="O140" i="91"/>
  <c r="E141" i="91"/>
  <c r="F141" i="91"/>
  <c r="G141" i="91"/>
  <c r="H141" i="91"/>
  <c r="I141" i="91"/>
  <c r="J141" i="91"/>
  <c r="M141" i="91"/>
  <c r="N141" i="91"/>
  <c r="O141" i="91"/>
  <c r="E142" i="91"/>
  <c r="F142" i="91"/>
  <c r="G142" i="91"/>
  <c r="H142" i="91"/>
  <c r="I142" i="91"/>
  <c r="J142" i="91"/>
  <c r="M142" i="91"/>
  <c r="N142" i="91"/>
  <c r="O142" i="91"/>
  <c r="E143" i="91"/>
  <c r="F143" i="91"/>
  <c r="G143" i="91"/>
  <c r="H143" i="91"/>
  <c r="I143" i="91"/>
  <c r="J143" i="91"/>
  <c r="M143" i="91"/>
  <c r="N143" i="91"/>
  <c r="O143" i="91"/>
  <c r="E144" i="91"/>
  <c r="F144" i="91"/>
  <c r="G144" i="91"/>
  <c r="H144" i="91"/>
  <c r="I144" i="91"/>
  <c r="J144" i="91"/>
  <c r="M144" i="91"/>
  <c r="N144" i="91"/>
  <c r="O144" i="91"/>
  <c r="E145" i="91"/>
  <c r="F145" i="91"/>
  <c r="G145" i="91"/>
  <c r="H145" i="91"/>
  <c r="I145" i="91"/>
  <c r="J145" i="91"/>
  <c r="M145" i="91"/>
  <c r="N145" i="91"/>
  <c r="O145" i="91"/>
  <c r="O136" i="91"/>
  <c r="N136" i="91"/>
  <c r="M136" i="91"/>
  <c r="F136" i="91"/>
  <c r="G136" i="91"/>
  <c r="H136" i="91"/>
  <c r="I136" i="91"/>
  <c r="J136" i="91"/>
  <c r="E136" i="91"/>
  <c r="E128" i="91"/>
  <c r="F128" i="91"/>
  <c r="G128" i="91"/>
  <c r="H128" i="91"/>
  <c r="I128" i="91"/>
  <c r="J128" i="91"/>
  <c r="M128" i="91"/>
  <c r="N128" i="91"/>
  <c r="O128" i="91"/>
  <c r="E129" i="91"/>
  <c r="F129" i="91"/>
  <c r="G129" i="91"/>
  <c r="H129" i="91"/>
  <c r="I129" i="91"/>
  <c r="J129" i="91"/>
  <c r="M129" i="91"/>
  <c r="N129" i="91"/>
  <c r="O129" i="91"/>
  <c r="E130" i="91"/>
  <c r="F130" i="91"/>
  <c r="G130" i="91"/>
  <c r="H130" i="91"/>
  <c r="I130" i="91"/>
  <c r="J130" i="91"/>
  <c r="M130" i="91"/>
  <c r="N130" i="91"/>
  <c r="O130" i="91"/>
  <c r="E131" i="91"/>
  <c r="F131" i="91"/>
  <c r="G131" i="91"/>
  <c r="H131" i="91"/>
  <c r="I131" i="91"/>
  <c r="J131" i="91"/>
  <c r="M131" i="91"/>
  <c r="N131" i="91"/>
  <c r="O131" i="91"/>
  <c r="E132" i="91"/>
  <c r="F132" i="91"/>
  <c r="G132" i="91"/>
  <c r="H132" i="91"/>
  <c r="I132" i="91"/>
  <c r="J132" i="91"/>
  <c r="M132" i="91"/>
  <c r="N132" i="91"/>
  <c r="O132" i="91"/>
  <c r="E133" i="91"/>
  <c r="F133" i="91"/>
  <c r="G133" i="91"/>
  <c r="H133" i="91"/>
  <c r="I133" i="91"/>
  <c r="J133" i="91"/>
  <c r="M133" i="91"/>
  <c r="N133" i="91"/>
  <c r="O133" i="91"/>
  <c r="E134" i="91"/>
  <c r="F134" i="91"/>
  <c r="G134" i="91"/>
  <c r="H134" i="91"/>
  <c r="I134" i="91"/>
  <c r="J134" i="91"/>
  <c r="M134" i="91"/>
  <c r="N134" i="91"/>
  <c r="O134" i="91"/>
  <c r="E135" i="91"/>
  <c r="F135" i="91"/>
  <c r="G135" i="91"/>
  <c r="H135" i="91"/>
  <c r="I135" i="91"/>
  <c r="J135" i="91"/>
  <c r="M135" i="91"/>
  <c r="N135" i="91"/>
  <c r="O135" i="91"/>
  <c r="O127" i="91"/>
  <c r="N127" i="91"/>
  <c r="M127" i="91"/>
  <c r="F127" i="91"/>
  <c r="G127" i="91"/>
  <c r="H127" i="91"/>
  <c r="I127" i="91"/>
  <c r="J127" i="91"/>
  <c r="E127" i="91"/>
  <c r="E112" i="91"/>
  <c r="F112" i="91"/>
  <c r="G112" i="91"/>
  <c r="H112" i="91"/>
  <c r="I112" i="91"/>
  <c r="J112" i="91"/>
  <c r="M112" i="91"/>
  <c r="N112" i="91"/>
  <c r="O112" i="91"/>
  <c r="E113" i="91"/>
  <c r="F113" i="91"/>
  <c r="G113" i="91"/>
  <c r="H113" i="91"/>
  <c r="I113" i="91"/>
  <c r="J113" i="91"/>
  <c r="M113" i="91"/>
  <c r="N113" i="91"/>
  <c r="O113" i="91"/>
  <c r="E114" i="91"/>
  <c r="F114" i="91"/>
  <c r="G114" i="91"/>
  <c r="H114" i="91"/>
  <c r="I114" i="91"/>
  <c r="J114" i="91"/>
  <c r="M114" i="91"/>
  <c r="N114" i="91"/>
  <c r="O114" i="91"/>
  <c r="E115" i="91"/>
  <c r="F115" i="91"/>
  <c r="G115" i="91"/>
  <c r="H115" i="91"/>
  <c r="I115" i="91"/>
  <c r="J115" i="91"/>
  <c r="M115" i="91"/>
  <c r="N115" i="91"/>
  <c r="O115" i="91"/>
  <c r="E116" i="91"/>
  <c r="F116" i="91"/>
  <c r="G116" i="91"/>
  <c r="H116" i="91"/>
  <c r="I116" i="91"/>
  <c r="J116" i="91"/>
  <c r="M116" i="91"/>
  <c r="N116" i="91"/>
  <c r="O116" i="91"/>
  <c r="E117" i="91"/>
  <c r="F117" i="91"/>
  <c r="G117" i="91"/>
  <c r="H117" i="91"/>
  <c r="I117" i="91"/>
  <c r="J117" i="91"/>
  <c r="M117" i="91"/>
  <c r="N117" i="91"/>
  <c r="O117" i="91"/>
  <c r="E118" i="91"/>
  <c r="F118" i="91"/>
  <c r="G118" i="91"/>
  <c r="H118" i="91"/>
  <c r="I118" i="91"/>
  <c r="J118" i="91"/>
  <c r="M118" i="91"/>
  <c r="N118" i="91"/>
  <c r="O118" i="91"/>
  <c r="E119" i="91"/>
  <c r="F119" i="91"/>
  <c r="G119" i="91"/>
  <c r="H119" i="91"/>
  <c r="I119" i="91"/>
  <c r="J119" i="91"/>
  <c r="M119" i="91"/>
  <c r="N119" i="91"/>
  <c r="O119" i="91"/>
  <c r="E120" i="91"/>
  <c r="F120" i="91"/>
  <c r="G120" i="91"/>
  <c r="H120" i="91"/>
  <c r="I120" i="91"/>
  <c r="J120" i="91"/>
  <c r="M120" i="91"/>
  <c r="N120" i="91"/>
  <c r="O120" i="91"/>
  <c r="E121" i="91"/>
  <c r="F121" i="91"/>
  <c r="G121" i="91"/>
  <c r="H121" i="91"/>
  <c r="I121" i="91"/>
  <c r="J121" i="91"/>
  <c r="M121" i="91"/>
  <c r="N121" i="91"/>
  <c r="O121" i="91"/>
  <c r="E122" i="91"/>
  <c r="F122" i="91"/>
  <c r="G122" i="91"/>
  <c r="H122" i="91"/>
  <c r="I122" i="91"/>
  <c r="J122" i="91"/>
  <c r="M122" i="91"/>
  <c r="N122" i="91"/>
  <c r="O122" i="91"/>
  <c r="E123" i="91"/>
  <c r="F123" i="91"/>
  <c r="G123" i="91"/>
  <c r="H123" i="91"/>
  <c r="I123" i="91"/>
  <c r="J123" i="91"/>
  <c r="M123" i="91"/>
  <c r="N123" i="91"/>
  <c r="O123" i="91"/>
  <c r="E124" i="91"/>
  <c r="F124" i="91"/>
  <c r="G124" i="91"/>
  <c r="H124" i="91"/>
  <c r="I124" i="91"/>
  <c r="J124" i="91"/>
  <c r="M124" i="91"/>
  <c r="N124" i="91"/>
  <c r="O124" i="91"/>
  <c r="E125" i="91"/>
  <c r="F125" i="91"/>
  <c r="G125" i="91"/>
  <c r="H125" i="91"/>
  <c r="I125" i="91"/>
  <c r="J125" i="91"/>
  <c r="M125" i="91"/>
  <c r="N125" i="91"/>
  <c r="O125" i="91"/>
  <c r="E126" i="91"/>
  <c r="F126" i="91"/>
  <c r="G126" i="91"/>
  <c r="H126" i="91"/>
  <c r="I126" i="91"/>
  <c r="J126" i="91"/>
  <c r="M126" i="91"/>
  <c r="N126" i="91"/>
  <c r="O126" i="91"/>
  <c r="O111" i="91"/>
  <c r="N111" i="91"/>
  <c r="M111" i="91"/>
  <c r="F111" i="91"/>
  <c r="G111" i="91"/>
  <c r="H111" i="91"/>
  <c r="I111" i="91"/>
  <c r="J111" i="91"/>
  <c r="E111" i="91"/>
  <c r="E102" i="91"/>
  <c r="F102" i="91"/>
  <c r="G102" i="91"/>
  <c r="H102" i="91"/>
  <c r="I102" i="91"/>
  <c r="J102" i="91"/>
  <c r="M102" i="91"/>
  <c r="N102" i="91"/>
  <c r="O102" i="91"/>
  <c r="E103" i="91"/>
  <c r="F103" i="91"/>
  <c r="G103" i="91"/>
  <c r="H103" i="91"/>
  <c r="I103" i="91"/>
  <c r="J103" i="91"/>
  <c r="M103" i="91"/>
  <c r="N103" i="91"/>
  <c r="O103" i="91"/>
  <c r="E104" i="91"/>
  <c r="F104" i="91"/>
  <c r="G104" i="91"/>
  <c r="H104" i="91"/>
  <c r="I104" i="91"/>
  <c r="J104" i="91"/>
  <c r="M104" i="91"/>
  <c r="N104" i="91"/>
  <c r="O104" i="91"/>
  <c r="E105" i="91"/>
  <c r="F105" i="91"/>
  <c r="G105" i="91"/>
  <c r="H105" i="91"/>
  <c r="I105" i="91"/>
  <c r="J105" i="91"/>
  <c r="M105" i="91"/>
  <c r="N105" i="91"/>
  <c r="O105" i="91"/>
  <c r="E106" i="91"/>
  <c r="F106" i="91"/>
  <c r="G106" i="91"/>
  <c r="H106" i="91"/>
  <c r="I106" i="91"/>
  <c r="J106" i="91"/>
  <c r="M106" i="91"/>
  <c r="N106" i="91"/>
  <c r="O106" i="91"/>
  <c r="E107" i="91"/>
  <c r="F107" i="91"/>
  <c r="G107" i="91"/>
  <c r="H107" i="91"/>
  <c r="I107" i="91"/>
  <c r="J107" i="91"/>
  <c r="M107" i="91"/>
  <c r="N107" i="91"/>
  <c r="O107" i="91"/>
  <c r="E108" i="91"/>
  <c r="F108" i="91"/>
  <c r="G108" i="91"/>
  <c r="H108" i="91"/>
  <c r="I108" i="91"/>
  <c r="J108" i="91"/>
  <c r="M108" i="91"/>
  <c r="N108" i="91"/>
  <c r="O108" i="91"/>
  <c r="E109" i="91"/>
  <c r="F109" i="91"/>
  <c r="G109" i="91"/>
  <c r="H109" i="91"/>
  <c r="I109" i="91"/>
  <c r="J109" i="91"/>
  <c r="M109" i="91"/>
  <c r="N109" i="91"/>
  <c r="O109" i="91"/>
  <c r="E110" i="91"/>
  <c r="F110" i="91"/>
  <c r="G110" i="91"/>
  <c r="H110" i="91"/>
  <c r="I110" i="91"/>
  <c r="J110" i="91"/>
  <c r="M110" i="91"/>
  <c r="N110" i="91"/>
  <c r="O110" i="91"/>
  <c r="O101" i="91"/>
  <c r="N101" i="91"/>
  <c r="M101" i="91"/>
  <c r="F101" i="91"/>
  <c r="G101" i="91"/>
  <c r="H101" i="91"/>
  <c r="I101" i="91"/>
  <c r="J101" i="91"/>
  <c r="E101" i="91"/>
  <c r="E91" i="91"/>
  <c r="F91" i="91"/>
  <c r="G91" i="91"/>
  <c r="H91" i="91"/>
  <c r="I91" i="91"/>
  <c r="J91" i="91"/>
  <c r="M91" i="91"/>
  <c r="N91" i="91"/>
  <c r="O91" i="91"/>
  <c r="E92" i="91"/>
  <c r="F92" i="91"/>
  <c r="G92" i="91"/>
  <c r="H92" i="91"/>
  <c r="I92" i="91"/>
  <c r="J92" i="91"/>
  <c r="M92" i="91"/>
  <c r="N92" i="91"/>
  <c r="O92" i="91"/>
  <c r="E93" i="91"/>
  <c r="F93" i="91"/>
  <c r="G93" i="91"/>
  <c r="H93" i="91"/>
  <c r="I93" i="91"/>
  <c r="J93" i="91"/>
  <c r="M93" i="91"/>
  <c r="N93" i="91"/>
  <c r="O93" i="91"/>
  <c r="E94" i="91"/>
  <c r="F94" i="91"/>
  <c r="G94" i="91"/>
  <c r="H94" i="91"/>
  <c r="I94" i="91"/>
  <c r="J94" i="91"/>
  <c r="M94" i="91"/>
  <c r="N94" i="91"/>
  <c r="O94" i="91"/>
  <c r="E95" i="91"/>
  <c r="F95" i="91"/>
  <c r="G95" i="91"/>
  <c r="H95" i="91"/>
  <c r="I95" i="91"/>
  <c r="J95" i="91"/>
  <c r="M95" i="91"/>
  <c r="N95" i="91"/>
  <c r="O95" i="91"/>
  <c r="E96" i="91"/>
  <c r="F96" i="91"/>
  <c r="G96" i="91"/>
  <c r="H96" i="91"/>
  <c r="I96" i="91"/>
  <c r="J96" i="91"/>
  <c r="M96" i="91"/>
  <c r="N96" i="91"/>
  <c r="O96" i="91"/>
  <c r="E97" i="91"/>
  <c r="F97" i="91"/>
  <c r="G97" i="91"/>
  <c r="H97" i="91"/>
  <c r="I97" i="91"/>
  <c r="J97" i="91"/>
  <c r="M97" i="91"/>
  <c r="N97" i="91"/>
  <c r="O97" i="91"/>
  <c r="E98" i="91"/>
  <c r="F98" i="91"/>
  <c r="G98" i="91"/>
  <c r="H98" i="91"/>
  <c r="I98" i="91"/>
  <c r="J98" i="91"/>
  <c r="M98" i="91"/>
  <c r="N98" i="91"/>
  <c r="O98" i="91"/>
  <c r="E99" i="91"/>
  <c r="F99" i="91"/>
  <c r="G99" i="91"/>
  <c r="H99" i="91"/>
  <c r="I99" i="91"/>
  <c r="J99" i="91"/>
  <c r="M99" i="91"/>
  <c r="N99" i="91"/>
  <c r="O99" i="91"/>
  <c r="E100" i="91"/>
  <c r="F100" i="91"/>
  <c r="G100" i="91"/>
  <c r="H100" i="91"/>
  <c r="I100" i="91"/>
  <c r="J100" i="91"/>
  <c r="M100" i="91"/>
  <c r="N100" i="91"/>
  <c r="O100" i="91"/>
  <c r="O90" i="91"/>
  <c r="N90" i="91"/>
  <c r="M90" i="91"/>
  <c r="F90" i="91"/>
  <c r="G90" i="91"/>
  <c r="H90" i="91"/>
  <c r="I90" i="91"/>
  <c r="J90" i="91"/>
  <c r="E90" i="91"/>
  <c r="E85" i="91"/>
  <c r="F85" i="91"/>
  <c r="G85" i="91"/>
  <c r="H85" i="91"/>
  <c r="I85" i="91"/>
  <c r="J85" i="91"/>
  <c r="M85" i="91"/>
  <c r="N85" i="91"/>
  <c r="O85" i="91"/>
  <c r="E86" i="91"/>
  <c r="F86" i="91"/>
  <c r="G86" i="91"/>
  <c r="H86" i="91"/>
  <c r="I86" i="91"/>
  <c r="J86" i="91"/>
  <c r="M86" i="91"/>
  <c r="N86" i="91"/>
  <c r="O86" i="91"/>
  <c r="E87" i="91"/>
  <c r="F87" i="91"/>
  <c r="G87" i="91"/>
  <c r="H87" i="91"/>
  <c r="I87" i="91"/>
  <c r="J87" i="91"/>
  <c r="M87" i="91"/>
  <c r="N87" i="91"/>
  <c r="O87" i="91"/>
  <c r="E88" i="91"/>
  <c r="F88" i="91"/>
  <c r="G88" i="91"/>
  <c r="H88" i="91"/>
  <c r="I88" i="91"/>
  <c r="J88" i="91"/>
  <c r="M88" i="91"/>
  <c r="N88" i="91"/>
  <c r="O88" i="91"/>
  <c r="E89" i="91"/>
  <c r="F89" i="91"/>
  <c r="G89" i="91"/>
  <c r="H89" i="91"/>
  <c r="I89" i="91"/>
  <c r="J89" i="91"/>
  <c r="M89" i="91"/>
  <c r="N89" i="91"/>
  <c r="O89" i="91"/>
  <c r="E73" i="91"/>
  <c r="F73" i="91"/>
  <c r="G73" i="91"/>
  <c r="H73" i="91"/>
  <c r="I73" i="91"/>
  <c r="J73" i="91"/>
  <c r="M73" i="91"/>
  <c r="N73" i="91"/>
  <c r="O73" i="91"/>
  <c r="E74" i="91"/>
  <c r="F74" i="91"/>
  <c r="G74" i="91"/>
  <c r="H74" i="91"/>
  <c r="I74" i="91"/>
  <c r="J74" i="91"/>
  <c r="M74" i="91"/>
  <c r="N74" i="91"/>
  <c r="O74" i="91"/>
  <c r="E75" i="91"/>
  <c r="F75" i="91"/>
  <c r="G75" i="91"/>
  <c r="H75" i="91"/>
  <c r="I75" i="91"/>
  <c r="J75" i="91"/>
  <c r="M75" i="91"/>
  <c r="N75" i="91"/>
  <c r="O75" i="91"/>
  <c r="E76" i="91"/>
  <c r="F76" i="91"/>
  <c r="G76" i="91"/>
  <c r="H76" i="91"/>
  <c r="I76" i="91"/>
  <c r="J76" i="91"/>
  <c r="M76" i="91"/>
  <c r="N76" i="91"/>
  <c r="O76" i="91"/>
  <c r="E77" i="91"/>
  <c r="F77" i="91"/>
  <c r="G77" i="91"/>
  <c r="H77" i="91"/>
  <c r="I77" i="91"/>
  <c r="J77" i="91"/>
  <c r="M77" i="91"/>
  <c r="N77" i="91"/>
  <c r="O77" i="91"/>
  <c r="E78" i="91"/>
  <c r="F78" i="91"/>
  <c r="G78" i="91"/>
  <c r="H78" i="91"/>
  <c r="I78" i="91"/>
  <c r="J78" i="91"/>
  <c r="M78" i="91"/>
  <c r="N78" i="91"/>
  <c r="O78" i="91"/>
  <c r="E79" i="91"/>
  <c r="F79" i="91"/>
  <c r="G79" i="91"/>
  <c r="H79" i="91"/>
  <c r="I79" i="91"/>
  <c r="J79" i="91"/>
  <c r="M79" i="91"/>
  <c r="N79" i="91"/>
  <c r="O79" i="91"/>
  <c r="E80" i="91"/>
  <c r="F80" i="91"/>
  <c r="G80" i="91"/>
  <c r="H80" i="91"/>
  <c r="I80" i="91"/>
  <c r="J80" i="91"/>
  <c r="M80" i="91"/>
  <c r="N80" i="91"/>
  <c r="O80" i="91"/>
  <c r="E81" i="91"/>
  <c r="F81" i="91"/>
  <c r="G81" i="91"/>
  <c r="H81" i="91"/>
  <c r="I81" i="91"/>
  <c r="J81" i="91"/>
  <c r="M81" i="91"/>
  <c r="N81" i="91"/>
  <c r="O81" i="91"/>
  <c r="E82" i="91"/>
  <c r="F82" i="91"/>
  <c r="G82" i="91"/>
  <c r="H82" i="91"/>
  <c r="I82" i="91"/>
  <c r="J82" i="91"/>
  <c r="M82" i="91"/>
  <c r="N82" i="91"/>
  <c r="O82" i="91"/>
  <c r="E83" i="91"/>
  <c r="F83" i="91"/>
  <c r="G83" i="91"/>
  <c r="H83" i="91"/>
  <c r="I83" i="91"/>
  <c r="J83" i="91"/>
  <c r="M83" i="91"/>
  <c r="N83" i="91"/>
  <c r="O83" i="91"/>
  <c r="E84" i="91"/>
  <c r="F84" i="91"/>
  <c r="G84" i="91"/>
  <c r="H84" i="91"/>
  <c r="I84" i="91"/>
  <c r="J84" i="91"/>
  <c r="M84" i="91"/>
  <c r="N84" i="91"/>
  <c r="O84" i="91"/>
  <c r="O72" i="91"/>
  <c r="N72" i="91"/>
  <c r="M72" i="91"/>
  <c r="F72" i="91"/>
  <c r="G72" i="91"/>
  <c r="H72" i="91"/>
  <c r="I72" i="91"/>
  <c r="J72" i="91"/>
  <c r="E72" i="91"/>
  <c r="E69" i="91"/>
  <c r="F69" i="91"/>
  <c r="G69" i="91"/>
  <c r="H69" i="91"/>
  <c r="I69" i="91"/>
  <c r="J69" i="91"/>
  <c r="M69" i="91"/>
  <c r="N69" i="91"/>
  <c r="O69" i="91"/>
  <c r="E70" i="91"/>
  <c r="F70" i="91"/>
  <c r="G70" i="91"/>
  <c r="H70" i="91"/>
  <c r="I70" i="91"/>
  <c r="J70" i="91"/>
  <c r="M70" i="91"/>
  <c r="N70" i="91"/>
  <c r="O70" i="91"/>
  <c r="E71" i="91"/>
  <c r="F71" i="91"/>
  <c r="G71" i="91"/>
  <c r="H71" i="91"/>
  <c r="I71" i="91"/>
  <c r="J71" i="91"/>
  <c r="M71" i="91"/>
  <c r="N71" i="91"/>
  <c r="O71" i="91"/>
  <c r="E26" i="91"/>
  <c r="F26" i="91"/>
  <c r="G26" i="91"/>
  <c r="H26" i="91"/>
  <c r="I26" i="91"/>
  <c r="J26" i="91"/>
  <c r="M26" i="91"/>
  <c r="N26" i="91"/>
  <c r="O26" i="91"/>
  <c r="E27" i="91"/>
  <c r="F27" i="91"/>
  <c r="G27" i="91"/>
  <c r="H27" i="91"/>
  <c r="I27" i="91"/>
  <c r="J27" i="91"/>
  <c r="M27" i="91"/>
  <c r="N27" i="91"/>
  <c r="O27" i="91"/>
  <c r="E28" i="91"/>
  <c r="F28" i="91"/>
  <c r="G28" i="91"/>
  <c r="H28" i="91"/>
  <c r="I28" i="91"/>
  <c r="J28" i="91"/>
  <c r="O28" i="91"/>
  <c r="E29" i="91"/>
  <c r="F29" i="91"/>
  <c r="G29" i="91"/>
  <c r="H29" i="91"/>
  <c r="I29" i="91"/>
  <c r="J29" i="91"/>
  <c r="M29" i="91"/>
  <c r="N29" i="91"/>
  <c r="O29" i="91"/>
  <c r="E30" i="91"/>
  <c r="F30" i="91"/>
  <c r="G30" i="91"/>
  <c r="H30" i="91"/>
  <c r="I30" i="91"/>
  <c r="J30" i="91"/>
  <c r="M30" i="91"/>
  <c r="N30" i="91"/>
  <c r="O30" i="91"/>
  <c r="E31" i="91"/>
  <c r="F31" i="91"/>
  <c r="G31" i="91"/>
  <c r="H31" i="91"/>
  <c r="I31" i="91"/>
  <c r="J31" i="91"/>
  <c r="M31" i="91"/>
  <c r="N31" i="91"/>
  <c r="O31" i="91"/>
  <c r="E32" i="91"/>
  <c r="F32" i="91"/>
  <c r="G32" i="91"/>
  <c r="H32" i="91"/>
  <c r="I32" i="91"/>
  <c r="J32" i="91"/>
  <c r="M32" i="91"/>
  <c r="N32" i="91"/>
  <c r="O32" i="91"/>
  <c r="E33" i="91"/>
  <c r="F33" i="91"/>
  <c r="G33" i="91"/>
  <c r="H33" i="91"/>
  <c r="I33" i="91"/>
  <c r="J33" i="91"/>
  <c r="M33" i="91"/>
  <c r="N33" i="91"/>
  <c r="O33" i="91"/>
  <c r="E34" i="91"/>
  <c r="F34" i="91"/>
  <c r="G34" i="91"/>
  <c r="H34" i="91"/>
  <c r="I34" i="91"/>
  <c r="J34" i="91"/>
  <c r="M34" i="91"/>
  <c r="N34" i="91"/>
  <c r="O34" i="91"/>
  <c r="E35" i="91"/>
  <c r="F35" i="91"/>
  <c r="G35" i="91"/>
  <c r="H35" i="91"/>
  <c r="I35" i="91"/>
  <c r="J35" i="91"/>
  <c r="M35" i="91"/>
  <c r="N35" i="91"/>
  <c r="O35" i="91"/>
  <c r="E36" i="91"/>
  <c r="F36" i="91"/>
  <c r="G36" i="91"/>
  <c r="H36" i="91"/>
  <c r="I36" i="91"/>
  <c r="J36" i="91"/>
  <c r="M36" i="91"/>
  <c r="N36" i="91"/>
  <c r="O36" i="91"/>
  <c r="E37" i="91"/>
  <c r="F37" i="91"/>
  <c r="G37" i="91"/>
  <c r="H37" i="91"/>
  <c r="I37" i="91"/>
  <c r="J37" i="91"/>
  <c r="M37" i="91"/>
  <c r="N37" i="91"/>
  <c r="O37" i="91"/>
  <c r="E38" i="91"/>
  <c r="F38" i="91"/>
  <c r="G38" i="91"/>
  <c r="H38" i="91"/>
  <c r="I38" i="91"/>
  <c r="J38" i="91"/>
  <c r="M38" i="91"/>
  <c r="N38" i="91"/>
  <c r="O38" i="91"/>
  <c r="E39" i="91"/>
  <c r="F39" i="91"/>
  <c r="G39" i="91"/>
  <c r="H39" i="91"/>
  <c r="I39" i="91"/>
  <c r="J39" i="91"/>
  <c r="M39" i="91"/>
  <c r="N39" i="91"/>
  <c r="O39" i="91"/>
  <c r="E40" i="91"/>
  <c r="F40" i="91"/>
  <c r="G40" i="91"/>
  <c r="H40" i="91"/>
  <c r="I40" i="91"/>
  <c r="J40" i="91"/>
  <c r="M40" i="91"/>
  <c r="N40" i="91"/>
  <c r="O40" i="91"/>
  <c r="E41" i="91"/>
  <c r="F41" i="91"/>
  <c r="G41" i="91"/>
  <c r="H41" i="91"/>
  <c r="I41" i="91"/>
  <c r="J41" i="91"/>
  <c r="M41" i="91"/>
  <c r="N41" i="91"/>
  <c r="O41" i="91"/>
  <c r="E42" i="91"/>
  <c r="F42" i="91"/>
  <c r="G42" i="91"/>
  <c r="H42" i="91"/>
  <c r="I42" i="91"/>
  <c r="J42" i="91"/>
  <c r="M42" i="91"/>
  <c r="N42" i="91"/>
  <c r="O42" i="91"/>
  <c r="E43" i="91"/>
  <c r="F43" i="91"/>
  <c r="G43" i="91"/>
  <c r="H43" i="91"/>
  <c r="I43" i="91"/>
  <c r="J43" i="91"/>
  <c r="M43" i="91"/>
  <c r="N43" i="91"/>
  <c r="O43" i="91"/>
  <c r="E44" i="91"/>
  <c r="F44" i="91"/>
  <c r="G44" i="91"/>
  <c r="H44" i="91"/>
  <c r="I44" i="91"/>
  <c r="J44" i="91"/>
  <c r="M44" i="91"/>
  <c r="N44" i="91"/>
  <c r="O44" i="91"/>
  <c r="E45" i="91"/>
  <c r="F45" i="91"/>
  <c r="G45" i="91"/>
  <c r="H45" i="91"/>
  <c r="I45" i="91"/>
  <c r="J45" i="91"/>
  <c r="M45" i="91"/>
  <c r="N45" i="91"/>
  <c r="O45" i="91"/>
  <c r="E46" i="91"/>
  <c r="F46" i="91"/>
  <c r="G46" i="91"/>
  <c r="H46" i="91"/>
  <c r="I46" i="91"/>
  <c r="J46" i="91"/>
  <c r="M46" i="91"/>
  <c r="N46" i="91"/>
  <c r="O46" i="91"/>
  <c r="E47" i="91"/>
  <c r="F47" i="91"/>
  <c r="G47" i="91"/>
  <c r="H47" i="91"/>
  <c r="I47" i="91"/>
  <c r="J47" i="91"/>
  <c r="M47" i="91"/>
  <c r="N47" i="91"/>
  <c r="O47" i="91"/>
  <c r="E48" i="91"/>
  <c r="F48" i="91"/>
  <c r="G48" i="91"/>
  <c r="H48" i="91"/>
  <c r="I48" i="91"/>
  <c r="J48" i="91"/>
  <c r="M48" i="91"/>
  <c r="N48" i="91"/>
  <c r="O48" i="91"/>
  <c r="E49" i="91"/>
  <c r="F49" i="91"/>
  <c r="G49" i="91"/>
  <c r="H49" i="91"/>
  <c r="I49" i="91"/>
  <c r="J49" i="91"/>
  <c r="M49" i="91"/>
  <c r="N49" i="91"/>
  <c r="O49" i="91"/>
  <c r="E50" i="91"/>
  <c r="F50" i="91"/>
  <c r="G50" i="91"/>
  <c r="H50" i="91"/>
  <c r="I50" i="91"/>
  <c r="J50" i="91"/>
  <c r="M50" i="91"/>
  <c r="N50" i="91"/>
  <c r="O50" i="91"/>
  <c r="E51" i="91"/>
  <c r="F51" i="91"/>
  <c r="G51" i="91"/>
  <c r="H51" i="91"/>
  <c r="I51" i="91"/>
  <c r="J51" i="91"/>
  <c r="M51" i="91"/>
  <c r="N51" i="91"/>
  <c r="O51" i="91"/>
  <c r="E52" i="91"/>
  <c r="F52" i="91"/>
  <c r="G52" i="91"/>
  <c r="H52" i="91"/>
  <c r="I52" i="91"/>
  <c r="J52" i="91"/>
  <c r="M52" i="91"/>
  <c r="N52" i="91"/>
  <c r="O52" i="91"/>
  <c r="E53" i="91"/>
  <c r="F53" i="91"/>
  <c r="G53" i="91"/>
  <c r="H53" i="91"/>
  <c r="I53" i="91"/>
  <c r="J53" i="91"/>
  <c r="M53" i="91"/>
  <c r="N53" i="91"/>
  <c r="O53" i="91"/>
  <c r="E54" i="91"/>
  <c r="F54" i="91"/>
  <c r="G54" i="91"/>
  <c r="H54" i="91"/>
  <c r="I54" i="91"/>
  <c r="J54" i="91"/>
  <c r="M54" i="91"/>
  <c r="N54" i="91"/>
  <c r="O54" i="91"/>
  <c r="E55" i="91"/>
  <c r="F55" i="91"/>
  <c r="G55" i="91"/>
  <c r="H55" i="91"/>
  <c r="I55" i="91"/>
  <c r="J55" i="91"/>
  <c r="M55" i="91"/>
  <c r="N55" i="91"/>
  <c r="O55" i="91"/>
  <c r="E56" i="91"/>
  <c r="F56" i="91"/>
  <c r="G56" i="91"/>
  <c r="H56" i="91"/>
  <c r="I56" i="91"/>
  <c r="J56" i="91"/>
  <c r="M56" i="91"/>
  <c r="N56" i="91"/>
  <c r="O56" i="91"/>
  <c r="E57" i="91"/>
  <c r="F57" i="91"/>
  <c r="G57" i="91"/>
  <c r="H57" i="91"/>
  <c r="I57" i="91"/>
  <c r="J57" i="91"/>
  <c r="M57" i="91"/>
  <c r="N57" i="91"/>
  <c r="O57" i="91"/>
  <c r="E58" i="91"/>
  <c r="F58" i="91"/>
  <c r="G58" i="91"/>
  <c r="H58" i="91"/>
  <c r="I58" i="91"/>
  <c r="J58" i="91"/>
  <c r="M58" i="91"/>
  <c r="N58" i="91"/>
  <c r="O58" i="91"/>
  <c r="E59" i="91"/>
  <c r="F59" i="91"/>
  <c r="G59" i="91"/>
  <c r="H59" i="91"/>
  <c r="I59" i="91"/>
  <c r="J59" i="91"/>
  <c r="M59" i="91"/>
  <c r="N59" i="91"/>
  <c r="O59" i="91"/>
  <c r="E60" i="91"/>
  <c r="F60" i="91"/>
  <c r="G60" i="91"/>
  <c r="H60" i="91"/>
  <c r="I60" i="91"/>
  <c r="J60" i="91"/>
  <c r="M60" i="91"/>
  <c r="N60" i="91"/>
  <c r="O60" i="91"/>
  <c r="E61" i="91"/>
  <c r="F61" i="91"/>
  <c r="G61" i="91"/>
  <c r="H61" i="91"/>
  <c r="I61" i="91"/>
  <c r="J61" i="91"/>
  <c r="M61" i="91"/>
  <c r="N61" i="91"/>
  <c r="O61" i="91"/>
  <c r="E62" i="91"/>
  <c r="F62" i="91"/>
  <c r="G62" i="91"/>
  <c r="H62" i="91"/>
  <c r="I62" i="91"/>
  <c r="J62" i="91"/>
  <c r="M62" i="91"/>
  <c r="N62" i="91"/>
  <c r="O62" i="91"/>
  <c r="E63" i="91"/>
  <c r="F63" i="91"/>
  <c r="G63" i="91"/>
  <c r="H63" i="91"/>
  <c r="I63" i="91"/>
  <c r="J63" i="91"/>
  <c r="M63" i="91"/>
  <c r="N63" i="91"/>
  <c r="O63" i="91"/>
  <c r="E64" i="91"/>
  <c r="F64" i="91"/>
  <c r="G64" i="91"/>
  <c r="H64" i="91"/>
  <c r="I64" i="91"/>
  <c r="J64" i="91"/>
  <c r="M64" i="91"/>
  <c r="N64" i="91"/>
  <c r="O64" i="91"/>
  <c r="E65" i="91"/>
  <c r="F65" i="91"/>
  <c r="G65" i="91"/>
  <c r="H65" i="91"/>
  <c r="I65" i="91"/>
  <c r="J65" i="91"/>
  <c r="M65" i="91"/>
  <c r="N65" i="91"/>
  <c r="O65" i="91"/>
  <c r="E66" i="91"/>
  <c r="F66" i="91"/>
  <c r="G66" i="91"/>
  <c r="H66" i="91"/>
  <c r="I66" i="91"/>
  <c r="J66" i="91"/>
  <c r="M66" i="91"/>
  <c r="N66" i="91"/>
  <c r="O66" i="91"/>
  <c r="E67" i="91"/>
  <c r="F67" i="91"/>
  <c r="G67" i="91"/>
  <c r="H67" i="91"/>
  <c r="I67" i="91"/>
  <c r="J67" i="91"/>
  <c r="M67" i="91"/>
  <c r="N67" i="91"/>
  <c r="O67" i="91"/>
  <c r="E68" i="91"/>
  <c r="F68" i="91"/>
  <c r="G68" i="91"/>
  <c r="H68" i="91"/>
  <c r="I68" i="91"/>
  <c r="J68" i="91"/>
  <c r="M68" i="91"/>
  <c r="N68" i="91"/>
  <c r="O68" i="91"/>
  <c r="O25" i="91"/>
  <c r="N25" i="91"/>
  <c r="F25" i="91"/>
  <c r="G25" i="91"/>
  <c r="H25" i="91"/>
  <c r="I25" i="91"/>
  <c r="J25" i="91"/>
  <c r="M25" i="91"/>
  <c r="E25" i="91"/>
  <c r="K6" i="91"/>
  <c r="L6" i="91"/>
  <c r="K7" i="91"/>
  <c r="L7" i="91"/>
  <c r="B30" i="91"/>
  <c r="A30" i="91"/>
  <c r="B29" i="91"/>
  <c r="A29" i="91"/>
  <c r="B28" i="91"/>
  <c r="A28" i="91"/>
  <c r="B27" i="91"/>
  <c r="A27" i="91"/>
  <c r="B26" i="91"/>
  <c r="A26" i="91"/>
  <c r="B24" i="91"/>
  <c r="A24" i="91"/>
  <c r="B23" i="91"/>
  <c r="A23" i="91"/>
  <c r="B22" i="91"/>
  <c r="A22" i="91"/>
  <c r="B21" i="91"/>
  <c r="A21" i="91"/>
  <c r="B19" i="91"/>
  <c r="A19" i="91"/>
  <c r="B18" i="91"/>
  <c r="A18" i="91"/>
  <c r="B16" i="91"/>
  <c r="A16" i="91"/>
  <c r="B15" i="91"/>
  <c r="A15" i="91"/>
  <c r="B13" i="91"/>
  <c r="A13" i="91"/>
  <c r="B12" i="91"/>
  <c r="A12" i="91"/>
  <c r="B10" i="91"/>
  <c r="A10" i="91"/>
  <c r="B9" i="91"/>
  <c r="A9" i="91"/>
  <c r="B8" i="91"/>
  <c r="A8" i="91"/>
  <c r="B6" i="91"/>
  <c r="A6" i="91"/>
  <c r="B5" i="91"/>
  <c r="A5" i="91"/>
  <c r="B4" i="91"/>
  <c r="A4" i="91"/>
  <c r="B2" i="91"/>
  <c r="A2" i="91"/>
  <c r="E4" i="91"/>
  <c r="F4" i="91"/>
  <c r="G4" i="91"/>
  <c r="H4" i="91"/>
  <c r="I4" i="91"/>
  <c r="J4" i="91"/>
  <c r="M4" i="91"/>
  <c r="N4" i="91"/>
  <c r="O4" i="91"/>
  <c r="E5" i="91"/>
  <c r="F5" i="91"/>
  <c r="G5" i="91"/>
  <c r="H5" i="91"/>
  <c r="I5" i="91"/>
  <c r="J5" i="91"/>
  <c r="M5" i="91"/>
  <c r="N5" i="91"/>
  <c r="O5" i="91"/>
  <c r="E6" i="91"/>
  <c r="F6" i="91"/>
  <c r="G6" i="91"/>
  <c r="H6" i="91"/>
  <c r="I6" i="91"/>
  <c r="J6" i="91"/>
  <c r="M6" i="91"/>
  <c r="N6" i="91"/>
  <c r="O6" i="91"/>
  <c r="E7" i="91"/>
  <c r="F7" i="91"/>
  <c r="G7" i="91"/>
  <c r="H7" i="91"/>
  <c r="I7" i="91"/>
  <c r="J7" i="91"/>
  <c r="M7" i="91"/>
  <c r="N7" i="91"/>
  <c r="O7" i="91"/>
  <c r="E8" i="91"/>
  <c r="F8" i="91"/>
  <c r="G8" i="91"/>
  <c r="H8" i="91"/>
  <c r="I8" i="91"/>
  <c r="J8" i="91"/>
  <c r="M8" i="91"/>
  <c r="N8" i="91"/>
  <c r="O8" i="91"/>
  <c r="E9" i="91"/>
  <c r="F9" i="91"/>
  <c r="G9" i="91"/>
  <c r="H9" i="91"/>
  <c r="I9" i="91"/>
  <c r="J9" i="91"/>
  <c r="M9" i="91"/>
  <c r="N9" i="91"/>
  <c r="O9" i="91"/>
  <c r="E10" i="91"/>
  <c r="F10" i="91"/>
  <c r="G10" i="91"/>
  <c r="H10" i="91"/>
  <c r="I10" i="91"/>
  <c r="J10" i="91"/>
  <c r="M10" i="91"/>
  <c r="N10" i="91"/>
  <c r="O10" i="91"/>
  <c r="E11" i="91"/>
  <c r="F11" i="91"/>
  <c r="G11" i="91"/>
  <c r="H11" i="91"/>
  <c r="I11" i="91"/>
  <c r="J11" i="91"/>
  <c r="M11" i="91"/>
  <c r="N11" i="91"/>
  <c r="O11" i="91"/>
  <c r="E12" i="91"/>
  <c r="F12" i="91"/>
  <c r="G12" i="91"/>
  <c r="H12" i="91"/>
  <c r="I12" i="91"/>
  <c r="J12" i="91"/>
  <c r="M12" i="91"/>
  <c r="N12" i="91"/>
  <c r="O12" i="91"/>
  <c r="E13" i="91"/>
  <c r="F13" i="91"/>
  <c r="G13" i="91"/>
  <c r="H13" i="91"/>
  <c r="I13" i="91"/>
  <c r="J13" i="91"/>
  <c r="K13" i="91"/>
  <c r="M13" i="91"/>
  <c r="N13" i="91"/>
  <c r="O13" i="91"/>
  <c r="E14" i="91"/>
  <c r="F14" i="91"/>
  <c r="G14" i="91"/>
  <c r="H14" i="91"/>
  <c r="I14" i="91"/>
  <c r="J14" i="91"/>
  <c r="K14" i="91"/>
  <c r="M14" i="91"/>
  <c r="N14" i="91"/>
  <c r="O14" i="91"/>
  <c r="E15" i="91"/>
  <c r="F15" i="91"/>
  <c r="G15" i="91"/>
  <c r="H15" i="91"/>
  <c r="I15" i="91"/>
  <c r="J15" i="91"/>
  <c r="M15" i="91"/>
  <c r="N15" i="91"/>
  <c r="O15" i="91"/>
  <c r="E16" i="91"/>
  <c r="F16" i="91"/>
  <c r="G16" i="91"/>
  <c r="H16" i="91"/>
  <c r="I16" i="91"/>
  <c r="J16" i="91"/>
  <c r="M16" i="91"/>
  <c r="N16" i="91"/>
  <c r="O16" i="91"/>
  <c r="E17" i="91"/>
  <c r="F17" i="91"/>
  <c r="G17" i="91"/>
  <c r="H17" i="91"/>
  <c r="I17" i="91"/>
  <c r="J17" i="91"/>
  <c r="M17" i="91"/>
  <c r="N17" i="91"/>
  <c r="O17" i="91"/>
  <c r="E18" i="91"/>
  <c r="F18" i="91"/>
  <c r="G18" i="91"/>
  <c r="H18" i="91"/>
  <c r="I18" i="91"/>
  <c r="J18" i="91"/>
  <c r="K18" i="91"/>
  <c r="L18" i="91"/>
  <c r="M18" i="91"/>
  <c r="N18" i="91"/>
  <c r="O18" i="91"/>
  <c r="E19" i="91"/>
  <c r="F19" i="91"/>
  <c r="G19" i="91"/>
  <c r="H19" i="91"/>
  <c r="I19" i="91"/>
  <c r="J19" i="91"/>
  <c r="K19" i="91"/>
  <c r="L19" i="91"/>
  <c r="M19" i="91"/>
  <c r="N19" i="91"/>
  <c r="O19" i="91"/>
  <c r="E20" i="91"/>
  <c r="F20" i="91"/>
  <c r="G20" i="91"/>
  <c r="H20" i="91"/>
  <c r="I20" i="91"/>
  <c r="J20" i="91"/>
  <c r="M20" i="91"/>
  <c r="N20" i="91"/>
  <c r="O20" i="91"/>
  <c r="E21" i="91"/>
  <c r="F21" i="91"/>
  <c r="G21" i="91"/>
  <c r="H21" i="91"/>
  <c r="I21" i="91"/>
  <c r="J21" i="91"/>
  <c r="M21" i="91"/>
  <c r="N21" i="91"/>
  <c r="O21" i="91"/>
  <c r="E22" i="91"/>
  <c r="F22" i="91"/>
  <c r="G22" i="91"/>
  <c r="H22" i="91"/>
  <c r="I22" i="91"/>
  <c r="J22" i="91"/>
  <c r="M22" i="91"/>
  <c r="N22" i="91"/>
  <c r="O22" i="91"/>
  <c r="E23" i="91"/>
  <c r="F23" i="91"/>
  <c r="G23" i="91"/>
  <c r="H23" i="91"/>
  <c r="I23" i="91"/>
  <c r="J23" i="91"/>
  <c r="M23" i="91"/>
  <c r="N23" i="91"/>
  <c r="O23" i="91"/>
  <c r="E24" i="91"/>
  <c r="F24" i="91"/>
  <c r="G24" i="91"/>
  <c r="H24" i="91"/>
  <c r="I24" i="91"/>
  <c r="J24" i="91"/>
  <c r="M24" i="91"/>
  <c r="N24" i="91"/>
  <c r="O24" i="91"/>
  <c r="J3" i="91"/>
  <c r="I3" i="91"/>
  <c r="O3" i="91"/>
  <c r="N3" i="91"/>
  <c r="M3" i="91"/>
  <c r="H3" i="91"/>
  <c r="G3" i="91"/>
  <c r="F3" i="91"/>
  <c r="E3" i="91"/>
  <c r="L38" i="84"/>
  <c r="M38" i="84" s="1"/>
  <c r="Q38" i="84" s="1"/>
  <c r="T38" i="84" s="1"/>
  <c r="U38" i="84" s="1"/>
  <c r="K38" i="84"/>
  <c r="I38" i="84"/>
  <c r="I17" i="82"/>
  <c r="L17" i="82" s="1"/>
  <c r="M17" i="82" s="1"/>
  <c r="N17" i="82" s="1"/>
  <c r="R17" i="82" s="1"/>
  <c r="U17" i="82" s="1"/>
  <c r="V17" i="82" s="1"/>
  <c r="I16" i="82"/>
  <c r="L16" i="82" s="1"/>
  <c r="M16" i="82" s="1"/>
  <c r="N16" i="82" s="1"/>
  <c r="R16" i="82" s="1"/>
  <c r="U16" i="82" s="1"/>
  <c r="V16" i="82" s="1"/>
  <c r="L18" i="83"/>
  <c r="M18" i="83" s="1"/>
  <c r="N18" i="83" s="1"/>
  <c r="R18" i="83" s="1"/>
  <c r="U18" i="83" s="1"/>
  <c r="V18" i="83" s="1"/>
  <c r="L17" i="83"/>
  <c r="M17" i="83" s="1"/>
  <c r="N17" i="83" s="1"/>
  <c r="R17" i="83" s="1"/>
  <c r="U17" i="83" s="1"/>
  <c r="V17" i="83" s="1"/>
  <c r="K22" i="68"/>
  <c r="I22" i="68"/>
  <c r="W15" i="92"/>
  <c r="W14" i="92"/>
  <c r="W9" i="92"/>
  <c r="W8" i="92"/>
  <c r="I11" i="68"/>
  <c r="L11" i="68" s="1"/>
  <c r="M11" i="68" s="1"/>
  <c r="P11" i="68" s="1"/>
  <c r="I22" i="89"/>
  <c r="I21" i="89"/>
  <c r="I20" i="89"/>
  <c r="I19" i="89"/>
  <c r="I18" i="89"/>
  <c r="I16" i="89"/>
  <c r="I11" i="89"/>
  <c r="I10" i="89"/>
  <c r="H22" i="89"/>
  <c r="J22" i="89" s="1"/>
  <c r="K22" i="89" s="1"/>
  <c r="L22" i="89" s="1"/>
  <c r="H21" i="89"/>
  <c r="J21" i="89" s="1"/>
  <c r="K21" i="89" s="1"/>
  <c r="L21" i="89" s="1"/>
  <c r="M21" i="89" s="1"/>
  <c r="Q21" i="89" s="1"/>
  <c r="T21" i="89" s="1"/>
  <c r="U21" i="89" s="1"/>
  <c r="H20" i="89"/>
  <c r="J20" i="89" s="1"/>
  <c r="K20" i="89" s="1"/>
  <c r="L20" i="89" s="1"/>
  <c r="M20" i="89" s="1"/>
  <c r="Q20" i="89" s="1"/>
  <c r="T20" i="89" s="1"/>
  <c r="U20" i="89" s="1"/>
  <c r="H19" i="89"/>
  <c r="J19" i="89" s="1"/>
  <c r="K19" i="89" s="1"/>
  <c r="L19" i="89" s="1"/>
  <c r="H18" i="89"/>
  <c r="J18" i="89" s="1"/>
  <c r="H16" i="89"/>
  <c r="J16" i="89" s="1"/>
  <c r="K16" i="89" s="1"/>
  <c r="L16" i="89" s="1"/>
  <c r="O16" i="89" s="1"/>
  <c r="S16" i="89" s="1"/>
  <c r="H11" i="89"/>
  <c r="J11" i="89" s="1"/>
  <c r="K11" i="89" s="1"/>
  <c r="L11" i="89" s="1"/>
  <c r="H10" i="89"/>
  <c r="J10" i="89" s="1"/>
  <c r="I23" i="87"/>
  <c r="I22" i="87"/>
  <c r="I21" i="87"/>
  <c r="J15" i="86"/>
  <c r="K15" i="86" s="1"/>
  <c r="L15" i="86" s="1"/>
  <c r="M15" i="86" s="1"/>
  <c r="L54" i="70"/>
  <c r="K14" i="92"/>
  <c r="K9" i="92"/>
  <c r="J11" i="70"/>
  <c r="M28" i="91" s="1"/>
  <c r="K29" i="92"/>
  <c r="N29" i="92" s="1"/>
  <c r="O29" i="92" s="1"/>
  <c r="P29" i="92" s="1"/>
  <c r="T29" i="92" s="1"/>
  <c r="K28" i="92"/>
  <c r="N28" i="92" s="1"/>
  <c r="O28" i="92" s="1"/>
  <c r="P28" i="92" s="1"/>
  <c r="T28" i="92" s="1"/>
  <c r="W28" i="92" s="1"/>
  <c r="X28" i="92" s="1"/>
  <c r="K27" i="92"/>
  <c r="N27" i="92" s="1"/>
  <c r="O27" i="92" s="1"/>
  <c r="R27" i="92" s="1"/>
  <c r="V27" i="92" s="1"/>
  <c r="K26" i="92"/>
  <c r="N26" i="92" s="1"/>
  <c r="O26" i="92" s="1"/>
  <c r="K24" i="92"/>
  <c r="N24" i="92" s="1"/>
  <c r="O24" i="92" s="1"/>
  <c r="P24" i="92" s="1"/>
  <c r="T24" i="92" s="1"/>
  <c r="W24" i="92" s="1"/>
  <c r="X24" i="92" s="1"/>
  <c r="K23" i="92"/>
  <c r="N23" i="92" s="1"/>
  <c r="O23" i="92" s="1"/>
  <c r="P23" i="92" s="1"/>
  <c r="T23" i="92" s="1"/>
  <c r="W23" i="92" s="1"/>
  <c r="X23" i="92" s="1"/>
  <c r="M22" i="92"/>
  <c r="N22" i="92" s="1"/>
  <c r="O22" i="92" s="1"/>
  <c r="P22" i="92" s="1"/>
  <c r="T22" i="92" s="1"/>
  <c r="K22" i="92"/>
  <c r="M21" i="92"/>
  <c r="K21" i="92"/>
  <c r="N19" i="92"/>
  <c r="O19" i="92" s="1"/>
  <c r="P19" i="92" s="1"/>
  <c r="T19" i="92" s="1"/>
  <c r="W19" i="92"/>
  <c r="X19" i="92" s="1"/>
  <c r="K19" i="92"/>
  <c r="K18" i="92"/>
  <c r="N18" i="92" s="1"/>
  <c r="O18" i="92" s="1"/>
  <c r="P18" i="92" s="1"/>
  <c r="T18" i="92" s="1"/>
  <c r="W18" i="92" s="1"/>
  <c r="X18" i="92" s="1"/>
  <c r="K16" i="92"/>
  <c r="N16" i="92" s="1"/>
  <c r="O16" i="92" s="1"/>
  <c r="P16" i="92" s="1"/>
  <c r="T16" i="92" s="1"/>
  <c r="W16" i="92" s="1"/>
  <c r="X16" i="92" s="1"/>
  <c r="K15" i="92"/>
  <c r="N15" i="92" s="1"/>
  <c r="O15" i="92" s="1"/>
  <c r="R15" i="92" s="1"/>
  <c r="V15" i="92" s="1"/>
  <c r="M12" i="92"/>
  <c r="K12" i="92"/>
  <c r="N12" i="92" s="1"/>
  <c r="O12" i="92" s="1"/>
  <c r="M11" i="92"/>
  <c r="K11" i="92"/>
  <c r="K8" i="92"/>
  <c r="N8" i="92" s="1"/>
  <c r="O8" i="92" s="1"/>
  <c r="R8" i="92" s="1"/>
  <c r="V8" i="92" s="1"/>
  <c r="J16" i="86"/>
  <c r="K16" i="86" s="1"/>
  <c r="L16" i="86" s="1"/>
  <c r="M16" i="86" s="1"/>
  <c r="I8" i="86"/>
  <c r="I9" i="86"/>
  <c r="I10" i="86"/>
  <c r="I11" i="86"/>
  <c r="I12" i="86"/>
  <c r="I13" i="86"/>
  <c r="I14" i="86"/>
  <c r="I15" i="86"/>
  <c r="I8" i="88"/>
  <c r="K8" i="88" s="1"/>
  <c r="L8" i="88" s="1"/>
  <c r="O8" i="88" s="1"/>
  <c r="S8" i="88" s="1"/>
  <c r="I9" i="88"/>
  <c r="K9" i="88" s="1"/>
  <c r="L9" i="88" s="1"/>
  <c r="M9" i="88" s="1"/>
  <c r="Q9" i="88" s="1"/>
  <c r="I11" i="82"/>
  <c r="L11" i="82"/>
  <c r="M11" i="82" s="1"/>
  <c r="I9" i="68"/>
  <c r="L9" i="68" s="1"/>
  <c r="M9" i="68" s="1"/>
  <c r="N9" i="68" s="1"/>
  <c r="R9" i="68" s="1"/>
  <c r="U9" i="68" s="1"/>
  <c r="V9" i="68" s="1"/>
  <c r="I24" i="68"/>
  <c r="L24" i="68" s="1"/>
  <c r="M24" i="68" s="1"/>
  <c r="N24" i="68" s="1"/>
  <c r="R24" i="68" s="1"/>
  <c r="U24" i="68" s="1"/>
  <c r="V24" i="68" s="1"/>
  <c r="I26" i="68"/>
  <c r="L26" i="68" s="1"/>
  <c r="M26" i="68" s="1"/>
  <c r="N26" i="68" s="1"/>
  <c r="R26" i="68" s="1"/>
  <c r="U26" i="68" s="1"/>
  <c r="V26" i="68" s="1"/>
  <c r="I23" i="68"/>
  <c r="L23" i="68" s="1"/>
  <c r="M23" i="68" s="1"/>
  <c r="N23" i="68" s="1"/>
  <c r="R23" i="68" s="1"/>
  <c r="U23" i="68" s="1"/>
  <c r="V23" i="68" s="1"/>
  <c r="L11" i="70"/>
  <c r="M11" i="70" s="1"/>
  <c r="N11" i="70" s="1"/>
  <c r="O11" i="70" s="1"/>
  <c r="S11" i="70" s="1"/>
  <c r="V11" i="70" s="1"/>
  <c r="W11" i="70" s="1"/>
  <c r="N28" i="91" s="1"/>
  <c r="L49" i="70"/>
  <c r="J49" i="70"/>
  <c r="L50" i="70"/>
  <c r="J50" i="70"/>
  <c r="J15" i="70"/>
  <c r="M15" i="70" s="1"/>
  <c r="N15" i="70" s="1"/>
  <c r="O15" i="70" s="1"/>
  <c r="S15" i="70" s="1"/>
  <c r="V15" i="70" s="1"/>
  <c r="W15" i="70" s="1"/>
  <c r="J14" i="70"/>
  <c r="M14" i="70" s="1"/>
  <c r="N14" i="70" s="1"/>
  <c r="O14" i="70" s="1"/>
  <c r="S14" i="70" s="1"/>
  <c r="V14" i="70" s="1"/>
  <c r="W14" i="70" s="1"/>
  <c r="J18" i="70"/>
  <c r="M18" i="70" s="1"/>
  <c r="N18" i="70" s="1"/>
  <c r="O18" i="70" s="1"/>
  <c r="J17" i="70"/>
  <c r="M17" i="70" s="1"/>
  <c r="N17" i="70" s="1"/>
  <c r="J16" i="70"/>
  <c r="M16" i="70" s="1"/>
  <c r="N16" i="70" s="1"/>
  <c r="J19" i="70"/>
  <c r="M19" i="70" s="1"/>
  <c r="N19" i="70" s="1"/>
  <c r="Q19" i="70" s="1"/>
  <c r="U19" i="70" s="1"/>
  <c r="J10" i="70"/>
  <c r="M10" i="70" s="1"/>
  <c r="N10" i="70" s="1"/>
  <c r="O10" i="70" s="1"/>
  <c r="S10" i="70" s="1"/>
  <c r="V10" i="70" s="1"/>
  <c r="W10" i="70" s="1"/>
  <c r="J21" i="88"/>
  <c r="J20" i="88"/>
  <c r="J19" i="88"/>
  <c r="J18" i="88"/>
  <c r="J17" i="88"/>
  <c r="J16" i="88"/>
  <c r="J15" i="88"/>
  <c r="J13" i="88"/>
  <c r="J12" i="88"/>
  <c r="J11" i="81"/>
  <c r="J12" i="81"/>
  <c r="J14" i="81"/>
  <c r="J16" i="81"/>
  <c r="L36" i="84"/>
  <c r="J37" i="84"/>
  <c r="I16" i="84"/>
  <c r="K16" i="84"/>
  <c r="L16" i="84" s="1"/>
  <c r="I17" i="84"/>
  <c r="K17" i="84"/>
  <c r="L17" i="84" s="1"/>
  <c r="M17" i="84" s="1"/>
  <c r="Q17" i="84" s="1"/>
  <c r="T17" i="84" s="1"/>
  <c r="U17" i="84" s="1"/>
  <c r="I18" i="84"/>
  <c r="K18" i="84" s="1"/>
  <c r="L18" i="84" s="1"/>
  <c r="M18" i="84" s="1"/>
  <c r="Q18" i="84" s="1"/>
  <c r="T18" i="84" s="1"/>
  <c r="U18" i="84" s="1"/>
  <c r="I19" i="84"/>
  <c r="K19" i="84" s="1"/>
  <c r="L19" i="84" s="1"/>
  <c r="M19" i="84" s="1"/>
  <c r="Q19" i="84" s="1"/>
  <c r="T19" i="84" s="1"/>
  <c r="U19" i="84" s="1"/>
  <c r="I20" i="84"/>
  <c r="K20" i="84"/>
  <c r="L20" i="84" s="1"/>
  <c r="M20" i="84" s="1"/>
  <c r="Q20" i="84" s="1"/>
  <c r="I21" i="84"/>
  <c r="K21" i="84" s="1"/>
  <c r="L21" i="84" s="1"/>
  <c r="M21" i="84" s="1"/>
  <c r="Q21" i="84" s="1"/>
  <c r="T21" i="84" s="1"/>
  <c r="U21" i="84" s="1"/>
  <c r="I22" i="84"/>
  <c r="K22" i="84" s="1"/>
  <c r="L22" i="84" s="1"/>
  <c r="M22" i="84" s="1"/>
  <c r="Q22" i="84" s="1"/>
  <c r="T22" i="84" s="1"/>
  <c r="U22" i="84" s="1"/>
  <c r="I23" i="84"/>
  <c r="K23" i="84" s="1"/>
  <c r="L23" i="84" s="1"/>
  <c r="M23" i="84" s="1"/>
  <c r="Q23" i="84" s="1"/>
  <c r="T23" i="84" s="1"/>
  <c r="U23" i="84" s="1"/>
  <c r="I24" i="84"/>
  <c r="K24" i="84" s="1"/>
  <c r="L24" i="84" s="1"/>
  <c r="O24" i="84" s="1"/>
  <c r="S24" i="84" s="1"/>
  <c r="I25" i="84"/>
  <c r="K25" i="84" s="1"/>
  <c r="L25" i="84" s="1"/>
  <c r="M25" i="84" s="1"/>
  <c r="Q25" i="84" s="1"/>
  <c r="T25" i="84" s="1"/>
  <c r="U25" i="84" s="1"/>
  <c r="I26" i="84"/>
  <c r="K26" i="84" s="1"/>
  <c r="L26" i="84" s="1"/>
  <c r="M26" i="84" s="1"/>
  <c r="Q26" i="84" s="1"/>
  <c r="T26" i="84" s="1"/>
  <c r="U26" i="84" s="1"/>
  <c r="I27" i="84"/>
  <c r="K27" i="84" s="1"/>
  <c r="L27" i="84" s="1"/>
  <c r="M27" i="84" s="1"/>
  <c r="Q27" i="84" s="1"/>
  <c r="T27" i="84" s="1"/>
  <c r="U27" i="84" s="1"/>
  <c r="I28" i="84"/>
  <c r="K28" i="84" s="1"/>
  <c r="L28" i="84" s="1"/>
  <c r="I29" i="84"/>
  <c r="K29" i="84" s="1"/>
  <c r="L29" i="84" s="1"/>
  <c r="M29" i="84" s="1"/>
  <c r="Q29" i="84" s="1"/>
  <c r="T29" i="84" s="1"/>
  <c r="U29" i="84" s="1"/>
  <c r="I30" i="84"/>
  <c r="K30" i="84" s="1"/>
  <c r="L30" i="84" s="1"/>
  <c r="M30" i="84" s="1"/>
  <c r="Q30" i="84" s="1"/>
  <c r="T30" i="84" s="1"/>
  <c r="U30" i="84" s="1"/>
  <c r="I31" i="84"/>
  <c r="K31" i="84" s="1"/>
  <c r="L31" i="84" s="1"/>
  <c r="M31" i="84" s="1"/>
  <c r="Q31" i="84" s="1"/>
  <c r="T31" i="84" s="1"/>
  <c r="U31" i="84" s="1"/>
  <c r="I32" i="84"/>
  <c r="K32" i="84"/>
  <c r="L32" i="84" s="1"/>
  <c r="I33" i="84"/>
  <c r="K33" i="84"/>
  <c r="L33" i="84" s="1"/>
  <c r="M33" i="84" s="1"/>
  <c r="Q33" i="84" s="1"/>
  <c r="T33" i="84" s="1"/>
  <c r="U33" i="84" s="1"/>
  <c r="I34" i="84"/>
  <c r="K34" i="84" s="1"/>
  <c r="L34" i="84" s="1"/>
  <c r="M34" i="84" s="1"/>
  <c r="Q34" i="84" s="1"/>
  <c r="T34" i="84" s="1"/>
  <c r="U34" i="84" s="1"/>
  <c r="I35" i="84"/>
  <c r="K35" i="84" s="1"/>
  <c r="L35" i="84" s="1"/>
  <c r="M35" i="84" s="1"/>
  <c r="Q35" i="84" s="1"/>
  <c r="T35" i="84" s="1"/>
  <c r="U35" i="84" s="1"/>
  <c r="I36" i="84"/>
  <c r="I37" i="84"/>
  <c r="K37" i="84"/>
  <c r="L37" i="84" s="1"/>
  <c r="O37" i="84" s="1"/>
  <c r="S37" i="84" s="1"/>
  <c r="I39" i="84"/>
  <c r="K39" i="84" s="1"/>
  <c r="L39" i="84" s="1"/>
  <c r="M39" i="84" s="1"/>
  <c r="I40" i="84"/>
  <c r="K40" i="84" s="1"/>
  <c r="L40" i="84" s="1"/>
  <c r="M40" i="84" s="1"/>
  <c r="Q40" i="84" s="1"/>
  <c r="T40" i="84" s="1"/>
  <c r="U40" i="84" s="1"/>
  <c r="J14" i="84"/>
  <c r="J12" i="84"/>
  <c r="J9" i="84"/>
  <c r="I9" i="84"/>
  <c r="I12" i="84"/>
  <c r="K12" i="84" s="1"/>
  <c r="L12" i="84" s="1"/>
  <c r="M12" i="84" s="1"/>
  <c r="Q12" i="84" s="1"/>
  <c r="T12" i="84" s="1"/>
  <c r="U12" i="84" s="1"/>
  <c r="J11" i="84"/>
  <c r="J10" i="84"/>
  <c r="J8" i="84"/>
  <c r="I14" i="84"/>
  <c r="K14" i="84" s="1"/>
  <c r="L14" i="84" s="1"/>
  <c r="O14" i="84" s="1"/>
  <c r="S14" i="84" s="1"/>
  <c r="I10" i="84"/>
  <c r="I11" i="84"/>
  <c r="I8" i="84"/>
  <c r="J14" i="86"/>
  <c r="J13" i="86"/>
  <c r="K13" i="86" s="1"/>
  <c r="L13" i="86" s="1"/>
  <c r="M13" i="86" s="1"/>
  <c r="J11" i="86"/>
  <c r="J10" i="86"/>
  <c r="K10" i="86" s="1"/>
  <c r="L10" i="86" s="1"/>
  <c r="M10" i="86"/>
  <c r="J12" i="86"/>
  <c r="K12" i="86" s="1"/>
  <c r="L12" i="86" s="1"/>
  <c r="M12" i="86" s="1"/>
  <c r="J9" i="86"/>
  <c r="J8" i="86"/>
  <c r="I17" i="89"/>
  <c r="I15" i="89"/>
  <c r="I14" i="89"/>
  <c r="I13" i="89"/>
  <c r="I12" i="89"/>
  <c r="I9" i="89"/>
  <c r="I8" i="89"/>
  <c r="H17" i="89"/>
  <c r="J17" i="89" s="1"/>
  <c r="K17" i="89" s="1"/>
  <c r="L17" i="89" s="1"/>
  <c r="M17" i="89" s="1"/>
  <c r="Q17" i="89" s="1"/>
  <c r="T17" i="89" s="1"/>
  <c r="U17" i="89" s="1"/>
  <c r="H15" i="89"/>
  <c r="J15" i="89" s="1"/>
  <c r="K15" i="89" s="1"/>
  <c r="L15" i="89" s="1"/>
  <c r="M15" i="89" s="1"/>
  <c r="Q15" i="89" s="1"/>
  <c r="T15" i="89" s="1"/>
  <c r="U15" i="89" s="1"/>
  <c r="H14" i="89"/>
  <c r="J14" i="89" s="1"/>
  <c r="K14" i="89" s="1"/>
  <c r="L14" i="89" s="1"/>
  <c r="M14" i="89" s="1"/>
  <c r="Q14" i="89" s="1"/>
  <c r="T14" i="89" s="1"/>
  <c r="U14" i="89" s="1"/>
  <c r="H13" i="89"/>
  <c r="J13" i="89" s="1"/>
  <c r="K13" i="89" s="1"/>
  <c r="L13" i="89" s="1"/>
  <c r="H12" i="89"/>
  <c r="J12" i="89" s="1"/>
  <c r="H9" i="89"/>
  <c r="J9" i="89" s="1"/>
  <c r="K9" i="89" s="1"/>
  <c r="L9" i="89" s="1"/>
  <c r="H8" i="89"/>
  <c r="J8" i="89" s="1"/>
  <c r="K8" i="89" s="1"/>
  <c r="L8" i="89" s="1"/>
  <c r="O8" i="89" s="1"/>
  <c r="S8" i="89" s="1"/>
  <c r="I13" i="87"/>
  <c r="I12" i="87"/>
  <c r="J12" i="87" s="1"/>
  <c r="K12" i="87" s="1"/>
  <c r="N12" i="87" s="1"/>
  <c r="R12" i="87" s="1"/>
  <c r="I11" i="87"/>
  <c r="I10" i="87"/>
  <c r="I20" i="87"/>
  <c r="I19" i="87"/>
  <c r="I18" i="87"/>
  <c r="I17" i="87"/>
  <c r="I16" i="87"/>
  <c r="I15" i="87"/>
  <c r="H23" i="87"/>
  <c r="J23" i="87" s="1"/>
  <c r="K23" i="87" s="1"/>
  <c r="H20" i="87"/>
  <c r="J20" i="87" s="1"/>
  <c r="K20" i="87" s="1"/>
  <c r="H19" i="87"/>
  <c r="H18" i="87"/>
  <c r="J18" i="87"/>
  <c r="K18" i="87"/>
  <c r="L18" i="87" s="1"/>
  <c r="P18" i="87" s="1"/>
  <c r="S18" i="87" s="1"/>
  <c r="T18" i="87"/>
  <c r="H9" i="87"/>
  <c r="J9" i="87"/>
  <c r="K9" i="87" s="1"/>
  <c r="L9" i="87" s="1"/>
  <c r="P9" i="87" s="1"/>
  <c r="S9" i="87"/>
  <c r="T9" i="87"/>
  <c r="K15" i="82"/>
  <c r="K8" i="82"/>
  <c r="I14" i="90"/>
  <c r="J14" i="90" s="1"/>
  <c r="M14" i="90" s="1"/>
  <c r="H14" i="90"/>
  <c r="K16" i="83"/>
  <c r="I14" i="83"/>
  <c r="L14" i="83" s="1"/>
  <c r="M14" i="83" s="1"/>
  <c r="N14" i="83" s="1"/>
  <c r="R14" i="83" s="1"/>
  <c r="U14" i="83" s="1"/>
  <c r="V14" i="83" s="1"/>
  <c r="I9" i="83"/>
  <c r="L9" i="83" s="1"/>
  <c r="M9" i="83" s="1"/>
  <c r="N9" i="83" s="1"/>
  <c r="R9" i="83" s="1"/>
  <c r="U9" i="83" s="1"/>
  <c r="V9" i="83" s="1"/>
  <c r="V33" i="70"/>
  <c r="L52" i="70"/>
  <c r="L48" i="70"/>
  <c r="L47" i="70"/>
  <c r="L46" i="70"/>
  <c r="L45" i="70"/>
  <c r="L43" i="70"/>
  <c r="L42" i="70"/>
  <c r="L41" i="70"/>
  <c r="L40" i="70"/>
  <c r="L39" i="70"/>
  <c r="L38" i="70"/>
  <c r="L32" i="70"/>
  <c r="L31" i="70"/>
  <c r="L30" i="70"/>
  <c r="L29" i="70"/>
  <c r="L28" i="70"/>
  <c r="L27" i="70"/>
  <c r="L25" i="70"/>
  <c r="L24" i="70"/>
  <c r="L23" i="70"/>
  <c r="K21" i="68"/>
  <c r="K20" i="68"/>
  <c r="I19" i="88"/>
  <c r="K19" i="88" s="1"/>
  <c r="L19" i="88" s="1"/>
  <c r="M19" i="88" s="1"/>
  <c r="Q19" i="88" s="1"/>
  <c r="T19" i="88" s="1"/>
  <c r="U19" i="88" s="1"/>
  <c r="I20" i="88"/>
  <c r="K20" i="88" s="1"/>
  <c r="L20" i="88" s="1"/>
  <c r="M20" i="88" s="1"/>
  <c r="Q20" i="88" s="1"/>
  <c r="T20" i="88" s="1"/>
  <c r="U20" i="88" s="1"/>
  <c r="I21" i="88"/>
  <c r="K21" i="88" s="1"/>
  <c r="L21" i="88" s="1"/>
  <c r="I18" i="88"/>
  <c r="K18" i="88" s="1"/>
  <c r="L18" i="88" s="1"/>
  <c r="I13" i="82"/>
  <c r="L13" i="82" s="1"/>
  <c r="M13" i="82" s="1"/>
  <c r="I16" i="90"/>
  <c r="J16" i="90" s="1"/>
  <c r="M16" i="90" s="1"/>
  <c r="H16" i="90"/>
  <c r="H8" i="90"/>
  <c r="H11" i="90"/>
  <c r="H10" i="90"/>
  <c r="H13" i="90"/>
  <c r="H15" i="90"/>
  <c r="H18" i="90"/>
  <c r="H19" i="90"/>
  <c r="H20" i="90"/>
  <c r="H21" i="90"/>
  <c r="H9" i="90"/>
  <c r="I21" i="90"/>
  <c r="J21" i="90" s="1"/>
  <c r="M21" i="90" s="1"/>
  <c r="I19" i="90"/>
  <c r="J19" i="90" s="1"/>
  <c r="M19" i="90" s="1"/>
  <c r="I8" i="90"/>
  <c r="J8" i="90" s="1"/>
  <c r="M8" i="90" s="1"/>
  <c r="I11" i="90"/>
  <c r="J11" i="90" s="1"/>
  <c r="M11" i="90" s="1"/>
  <c r="I10" i="90"/>
  <c r="J10" i="90" s="1"/>
  <c r="M10" i="90" s="1"/>
  <c r="I13" i="90"/>
  <c r="J13" i="90"/>
  <c r="M13" i="90"/>
  <c r="I15" i="90"/>
  <c r="J15" i="90"/>
  <c r="M15" i="90" s="1"/>
  <c r="I18" i="90"/>
  <c r="J18" i="90"/>
  <c r="M18" i="90" s="1"/>
  <c r="I20" i="90"/>
  <c r="J20" i="90" s="1"/>
  <c r="M20" i="90" s="1"/>
  <c r="I9" i="90"/>
  <c r="J9" i="90" s="1"/>
  <c r="M9" i="90" s="1"/>
  <c r="I12" i="82"/>
  <c r="L12" i="82" s="1"/>
  <c r="M12" i="82" s="1"/>
  <c r="H12" i="87"/>
  <c r="F7" i="76"/>
  <c r="I7" i="76"/>
  <c r="F8" i="76"/>
  <c r="I8" i="76" s="1"/>
  <c r="F9" i="76"/>
  <c r="I9" i="76"/>
  <c r="F10" i="76"/>
  <c r="I10" i="76" s="1"/>
  <c r="F11" i="76"/>
  <c r="I11" i="76"/>
  <c r="F12" i="76"/>
  <c r="I12" i="76" s="1"/>
  <c r="F13" i="76"/>
  <c r="I13" i="76"/>
  <c r="F14" i="76"/>
  <c r="I14" i="76" s="1"/>
  <c r="F15" i="76"/>
  <c r="I15" i="76"/>
  <c r="F16" i="76"/>
  <c r="I16" i="76" s="1"/>
  <c r="F17" i="76"/>
  <c r="I17" i="76"/>
  <c r="F18" i="76"/>
  <c r="I18" i="76" s="1"/>
  <c r="F19" i="76"/>
  <c r="I19" i="76"/>
  <c r="F20" i="76"/>
  <c r="I20" i="76" s="1"/>
  <c r="F21" i="76"/>
  <c r="I21" i="76"/>
  <c r="F22" i="76"/>
  <c r="I22" i="76" s="1"/>
  <c r="F23" i="76"/>
  <c r="I23" i="76"/>
  <c r="F24" i="76"/>
  <c r="I24" i="76" s="1"/>
  <c r="F25" i="76"/>
  <c r="I25" i="76"/>
  <c r="F26" i="76"/>
  <c r="I26" i="76" s="1"/>
  <c r="F27" i="76"/>
  <c r="I27" i="76"/>
  <c r="I11" i="88"/>
  <c r="K11" i="88" s="1"/>
  <c r="L11" i="88" s="1"/>
  <c r="M11" i="88"/>
  <c r="Q11" i="88" s="1"/>
  <c r="T11" i="88" s="1"/>
  <c r="U11" i="88" s="1"/>
  <c r="I12" i="88"/>
  <c r="K12" i="88" s="1"/>
  <c r="L12" i="88" s="1"/>
  <c r="M12" i="88" s="1"/>
  <c r="Q12" i="88" s="1"/>
  <c r="T12" i="88" s="1"/>
  <c r="U12" i="88" s="1"/>
  <c r="I13" i="88"/>
  <c r="K13" i="88" s="1"/>
  <c r="L13" i="88" s="1"/>
  <c r="M13" i="88"/>
  <c r="Q13" i="88" s="1"/>
  <c r="T13" i="88" s="1"/>
  <c r="U13" i="88" s="1"/>
  <c r="I15" i="88"/>
  <c r="K15" i="88" s="1"/>
  <c r="L15" i="88" s="1"/>
  <c r="I16" i="88"/>
  <c r="K16" i="88"/>
  <c r="L16" i="88" s="1"/>
  <c r="M16" i="88" s="1"/>
  <c r="Q16" i="88" s="1"/>
  <c r="T16" i="88" s="1"/>
  <c r="U16" i="88" s="1"/>
  <c r="I17" i="88"/>
  <c r="K17" i="88" s="1"/>
  <c r="L17" i="88" s="1"/>
  <c r="M17" i="88" s="1"/>
  <c r="Q17" i="88" s="1"/>
  <c r="T17" i="88" s="1"/>
  <c r="U17" i="88" s="1"/>
  <c r="I8" i="81"/>
  <c r="K8" i="81" s="1"/>
  <c r="L8" i="81" s="1"/>
  <c r="M8" i="81" s="1"/>
  <c r="Q8" i="81" s="1"/>
  <c r="T8" i="81" s="1"/>
  <c r="U8" i="81" s="1"/>
  <c r="I9" i="81"/>
  <c r="K9" i="81"/>
  <c r="L9" i="81" s="1"/>
  <c r="M9" i="81"/>
  <c r="Q9" i="81" s="1"/>
  <c r="T9" i="81" s="1"/>
  <c r="U9" i="81" s="1"/>
  <c r="I11" i="81"/>
  <c r="K11" i="81" s="1"/>
  <c r="L11" i="81"/>
  <c r="O11" i="81" s="1"/>
  <c r="S11" i="81" s="1"/>
  <c r="M11" i="81"/>
  <c r="Q11" i="81" s="1"/>
  <c r="I12" i="81"/>
  <c r="K12" i="81" s="1"/>
  <c r="L12" i="81" s="1"/>
  <c r="I14" i="81"/>
  <c r="K14" i="81" s="1"/>
  <c r="L14" i="81"/>
  <c r="M14" i="81" s="1"/>
  <c r="Q14" i="81" s="1"/>
  <c r="T14" i="81" s="1"/>
  <c r="U14" i="81" s="1"/>
  <c r="I16" i="81"/>
  <c r="K16" i="81"/>
  <c r="L16" i="81"/>
  <c r="M16" i="81" s="1"/>
  <c r="Q16" i="81" s="1"/>
  <c r="I17" i="81"/>
  <c r="K17" i="81" s="1"/>
  <c r="L17" i="81"/>
  <c r="H10" i="87"/>
  <c r="H8" i="87"/>
  <c r="J8" i="87" s="1"/>
  <c r="K8" i="87"/>
  <c r="L8" i="87" s="1"/>
  <c r="P8" i="87" s="1"/>
  <c r="S8" i="87"/>
  <c r="T8" i="87" s="1"/>
  <c r="H15" i="87"/>
  <c r="J15" i="87"/>
  <c r="K15" i="87" s="1"/>
  <c r="L15" i="87" s="1"/>
  <c r="P15" i="87" s="1"/>
  <c r="S15" i="87" s="1"/>
  <c r="T15" i="87" s="1"/>
  <c r="H16" i="87"/>
  <c r="J16" i="87"/>
  <c r="K16" i="87" s="1"/>
  <c r="L16" i="87" s="1"/>
  <c r="P16" i="87" s="1"/>
  <c r="S16" i="87" s="1"/>
  <c r="T16" i="87" s="1"/>
  <c r="H17" i="87"/>
  <c r="H11" i="87"/>
  <c r="J11" i="87" s="1"/>
  <c r="K11" i="87" s="1"/>
  <c r="L11" i="87" s="1"/>
  <c r="P11" i="87" s="1"/>
  <c r="S11" i="87" s="1"/>
  <c r="T11" i="87" s="1"/>
  <c r="H21" i="87"/>
  <c r="J21" i="87" s="1"/>
  <c r="K21" i="87" s="1"/>
  <c r="L21" i="87" s="1"/>
  <c r="P21" i="87" s="1"/>
  <c r="S21" i="87" s="1"/>
  <c r="T21" i="87" s="1"/>
  <c r="H22" i="87"/>
  <c r="H13" i="87"/>
  <c r="J13" i="87" s="1"/>
  <c r="K13" i="87" s="1"/>
  <c r="I8" i="82"/>
  <c r="L8" i="82" s="1"/>
  <c r="M8" i="82" s="1"/>
  <c r="I10" i="82"/>
  <c r="L10" i="82" s="1"/>
  <c r="M10" i="82" s="1"/>
  <c r="N10" i="82" s="1"/>
  <c r="R10" i="82" s="1"/>
  <c r="I15" i="82"/>
  <c r="L15" i="82" s="1"/>
  <c r="M15" i="82" s="1"/>
  <c r="I8" i="83"/>
  <c r="L8" i="83" s="1"/>
  <c r="M8" i="83" s="1"/>
  <c r="P8" i="83" s="1"/>
  <c r="T8" i="83" s="1"/>
  <c r="I10" i="83"/>
  <c r="L10" i="83" s="1"/>
  <c r="M10" i="83" s="1"/>
  <c r="N10" i="83" s="1"/>
  <c r="R10" i="83" s="1"/>
  <c r="U10" i="83" s="1"/>
  <c r="V10" i="83" s="1"/>
  <c r="I12" i="83"/>
  <c r="L12" i="83" s="1"/>
  <c r="M12" i="83" s="1"/>
  <c r="I13" i="83"/>
  <c r="L13" i="83" s="1"/>
  <c r="M13" i="83" s="1"/>
  <c r="N13" i="83" s="1"/>
  <c r="R13" i="83" s="1"/>
  <c r="U13" i="83" s="1"/>
  <c r="V13" i="83" s="1"/>
  <c r="I13" i="68"/>
  <c r="L13" i="68" s="1"/>
  <c r="M13" i="68" s="1"/>
  <c r="N13" i="68" s="1"/>
  <c r="R13" i="68" s="1"/>
  <c r="U13" i="68" s="1"/>
  <c r="V13" i="68" s="1"/>
  <c r="I12" i="68"/>
  <c r="L12" i="68" s="1"/>
  <c r="M12" i="68" s="1"/>
  <c r="N12" i="68" s="1"/>
  <c r="R12" i="68" s="1"/>
  <c r="U12" i="68" s="1"/>
  <c r="I15" i="68"/>
  <c r="L15" i="68" s="1"/>
  <c r="M15" i="68" s="1"/>
  <c r="N15" i="68" s="1"/>
  <c r="R15" i="68" s="1"/>
  <c r="I16" i="68"/>
  <c r="L16" i="68" s="1"/>
  <c r="M16" i="68" s="1"/>
  <c r="P16" i="68" s="1"/>
  <c r="T16" i="68" s="1"/>
  <c r="I17" i="68"/>
  <c r="L17" i="68" s="1"/>
  <c r="M17" i="68" s="1"/>
  <c r="N17" i="68" s="1"/>
  <c r="R17" i="68" s="1"/>
  <c r="U17" i="68" s="1"/>
  <c r="V17" i="68" s="1"/>
  <c r="I18" i="68"/>
  <c r="L18" i="68" s="1"/>
  <c r="M18" i="68" s="1"/>
  <c r="N18" i="68" s="1"/>
  <c r="R18" i="68" s="1"/>
  <c r="U18" i="68" s="1"/>
  <c r="V18" i="68" s="1"/>
  <c r="I20" i="68"/>
  <c r="I21" i="68"/>
  <c r="J8" i="70"/>
  <c r="M8" i="70"/>
  <c r="N8" i="70" s="1"/>
  <c r="O8" i="70" s="1"/>
  <c r="S8" i="70" s="1"/>
  <c r="V8" i="70" s="1"/>
  <c r="W8" i="70" s="1"/>
  <c r="J9" i="70"/>
  <c r="M9" i="70" s="1"/>
  <c r="N9" i="70" s="1"/>
  <c r="O9" i="70" s="1"/>
  <c r="S9" i="70" s="1"/>
  <c r="V9" i="70" s="1"/>
  <c r="W9" i="70" s="1"/>
  <c r="J12" i="70"/>
  <c r="M12" i="70"/>
  <c r="N12" i="70" s="1"/>
  <c r="O12" i="70" s="1"/>
  <c r="S12" i="70" s="1"/>
  <c r="V12" i="70" s="1"/>
  <c r="W12" i="70" s="1"/>
  <c r="J20" i="70"/>
  <c r="M20" i="70" s="1"/>
  <c r="N20" i="70" s="1"/>
  <c r="J21" i="70"/>
  <c r="M21" i="70" s="1"/>
  <c r="N21" i="70" s="1"/>
  <c r="Q21" i="70" s="1"/>
  <c r="U21" i="70" s="1"/>
  <c r="J22" i="70"/>
  <c r="M22" i="70" s="1"/>
  <c r="N22" i="70" s="1"/>
  <c r="J23" i="70"/>
  <c r="M23" i="70"/>
  <c r="N23" i="70"/>
  <c r="Q23" i="70" s="1"/>
  <c r="U23" i="70" s="1"/>
  <c r="J24" i="70"/>
  <c r="M24" i="70" s="1"/>
  <c r="N24" i="70" s="1"/>
  <c r="O24" i="70" s="1"/>
  <c r="S24" i="70" s="1"/>
  <c r="V24" i="70" s="1"/>
  <c r="W24" i="70" s="1"/>
  <c r="J25" i="70"/>
  <c r="J27" i="70"/>
  <c r="J28" i="70"/>
  <c r="M28" i="70"/>
  <c r="N28" i="70" s="1"/>
  <c r="O28" i="70" s="1"/>
  <c r="S28" i="70" s="1"/>
  <c r="V28" i="70" s="1"/>
  <c r="W28" i="70" s="1"/>
  <c r="J29" i="70"/>
  <c r="M29" i="70" s="1"/>
  <c r="N29" i="70" s="1"/>
  <c r="O29" i="70" s="1"/>
  <c r="S29" i="70" s="1"/>
  <c r="V29" i="70" s="1"/>
  <c r="W29" i="70" s="1"/>
  <c r="J30" i="70"/>
  <c r="J31" i="70"/>
  <c r="J32" i="70"/>
  <c r="M32" i="70" s="1"/>
  <c r="N32" i="70" s="1"/>
  <c r="O32" i="70" s="1"/>
  <c r="S32" i="70" s="1"/>
  <c r="V32" i="70" s="1"/>
  <c r="W32" i="70" s="1"/>
  <c r="J34" i="70"/>
  <c r="M34" i="70" s="1"/>
  <c r="N34" i="70" s="1"/>
  <c r="O34" i="70" s="1"/>
  <c r="S34" i="70" s="1"/>
  <c r="V34" i="70" s="1"/>
  <c r="W34" i="70" s="1"/>
  <c r="J35" i="70"/>
  <c r="M35" i="70" s="1"/>
  <c r="N35" i="70" s="1"/>
  <c r="O35" i="70" s="1"/>
  <c r="S35" i="70" s="1"/>
  <c r="V35" i="70" s="1"/>
  <c r="W35" i="70" s="1"/>
  <c r="J36" i="70"/>
  <c r="M36" i="70" s="1"/>
  <c r="N36" i="70" s="1"/>
  <c r="O36" i="70" s="1"/>
  <c r="S36" i="70" s="1"/>
  <c r="V36" i="70" s="1"/>
  <c r="W36" i="70" s="1"/>
  <c r="J41" i="70"/>
  <c r="M41" i="70" s="1"/>
  <c r="N41" i="70" s="1"/>
  <c r="J40" i="70"/>
  <c r="J38" i="70"/>
  <c r="M38" i="70" s="1"/>
  <c r="N38" i="70" s="1"/>
  <c r="O38" i="70"/>
  <c r="S38" i="70" s="1"/>
  <c r="V38" i="70" s="1"/>
  <c r="W38" i="70" s="1"/>
  <c r="J39" i="70"/>
  <c r="J42" i="70"/>
  <c r="J43" i="70"/>
  <c r="J45" i="70"/>
  <c r="J46" i="70"/>
  <c r="M46" i="70" s="1"/>
  <c r="N46" i="70" s="1"/>
  <c r="O46" i="70" s="1"/>
  <c r="S46" i="70" s="1"/>
  <c r="V46" i="70" s="1"/>
  <c r="W46" i="70" s="1"/>
  <c r="J47" i="70"/>
  <c r="M47" i="70"/>
  <c r="N47" i="70" s="1"/>
  <c r="O47" i="70" s="1"/>
  <c r="S47" i="70" s="1"/>
  <c r="V47" i="70" s="1"/>
  <c r="W47" i="70" s="1"/>
  <c r="J48" i="70"/>
  <c r="J52" i="70"/>
  <c r="M52" i="70" s="1"/>
  <c r="N52" i="70" s="1"/>
  <c r="O52" i="70" s="1"/>
  <c r="S52" i="70" s="1"/>
  <c r="J54" i="70"/>
  <c r="M54" i="70" s="1"/>
  <c r="N54" i="70" s="1"/>
  <c r="O54" i="70" s="1"/>
  <c r="S54" i="70" s="1"/>
  <c r="K14" i="86"/>
  <c r="L14" i="86"/>
  <c r="M14" i="86" s="1"/>
  <c r="O16" i="81"/>
  <c r="S16" i="81" s="1"/>
  <c r="N11" i="92"/>
  <c r="O11" i="92" s="1"/>
  <c r="P11" i="92" s="1"/>
  <c r="T11" i="92" s="1"/>
  <c r="W11" i="92" s="1"/>
  <c r="X11" i="92" s="1"/>
  <c r="O9" i="88"/>
  <c r="S9" i="88" s="1"/>
  <c r="M8" i="88"/>
  <c r="Q8" i="88" s="1"/>
  <c r="N9" i="92"/>
  <c r="O9" i="92" s="1"/>
  <c r="R9" i="92" s="1"/>
  <c r="V9" i="92" s="1"/>
  <c r="N14" i="92"/>
  <c r="O14" i="92" s="1"/>
  <c r="R14" i="92" s="1"/>
  <c r="V14" i="92" s="1"/>
  <c r="J10" i="87"/>
  <c r="K10" i="87" s="1"/>
  <c r="J22" i="87"/>
  <c r="K22" i="87" s="1"/>
  <c r="L22" i="87" s="1"/>
  <c r="P22" i="87" s="1"/>
  <c r="S22" i="87" s="1"/>
  <c r="T22" i="87" s="1"/>
  <c r="O14" i="81"/>
  <c r="S14" i="81"/>
  <c r="P10" i="82"/>
  <c r="T10" i="82" s="1"/>
  <c r="U10" i="82" s="1"/>
  <c r="V10" i="82" s="1"/>
  <c r="P11" i="82"/>
  <c r="T11" i="82" s="1"/>
  <c r="N11" i="82"/>
  <c r="R11" i="82" s="1"/>
  <c r="U11" i="82" s="1"/>
  <c r="V11" i="82" s="1"/>
  <c r="R28" i="92"/>
  <c r="V28" i="92" s="1"/>
  <c r="R29" i="92"/>
  <c r="V29" i="92" s="1"/>
  <c r="R22" i="92"/>
  <c r="V22" i="92" s="1"/>
  <c r="P27" i="92"/>
  <c r="T27" i="92" s="1"/>
  <c r="W27" i="92" s="1"/>
  <c r="X27" i="92" s="1"/>
  <c r="M32" i="84"/>
  <c r="Q32" i="84" s="1"/>
  <c r="O32" i="84"/>
  <c r="S32" i="84" s="1"/>
  <c r="N13" i="87"/>
  <c r="R13" i="87" s="1"/>
  <c r="L13" i="87"/>
  <c r="P13" i="87" s="1"/>
  <c r="S13" i="87" s="1"/>
  <c r="T13" i="87" s="1"/>
  <c r="N20" i="87"/>
  <c r="R20" i="87" s="1"/>
  <c r="L20" i="87"/>
  <c r="P20" i="87" s="1"/>
  <c r="L10" i="87"/>
  <c r="P10" i="87"/>
  <c r="S10" i="87" s="1"/>
  <c r="T10" i="87" s="1"/>
  <c r="N10" i="87"/>
  <c r="R10" i="87" s="1"/>
  <c r="N11" i="87"/>
  <c r="R11" i="87" s="1"/>
  <c r="L12" i="87"/>
  <c r="P12" i="87"/>
  <c r="S12" i="87" s="1"/>
  <c r="T12" i="87" s="1"/>
  <c r="L23" i="87"/>
  <c r="P23" i="87"/>
  <c r="S23" i="87" s="1"/>
  <c r="T23" i="87" s="1"/>
  <c r="N23" i="87"/>
  <c r="R23" i="87"/>
  <c r="Q39" i="84" l="1"/>
  <c r="T39" i="84" s="1"/>
  <c r="U39" i="84" s="1"/>
  <c r="M37" i="84"/>
  <c r="Q37" i="84" s="1"/>
  <c r="Q54" i="70"/>
  <c r="U54" i="70" s="1"/>
  <c r="V54" i="70" s="1"/>
  <c r="W54" i="70" s="1"/>
  <c r="M30" i="70"/>
  <c r="N30" i="70" s="1"/>
  <c r="M45" i="70"/>
  <c r="N45" i="70" s="1"/>
  <c r="O45" i="70" s="1"/>
  <c r="S45" i="70" s="1"/>
  <c r="V45" i="70" s="1"/>
  <c r="W45" i="70" s="1"/>
  <c r="M179" i="91"/>
  <c r="T9" i="88"/>
  <c r="U9" i="88" s="1"/>
  <c r="K9" i="86"/>
  <c r="L9" i="86" s="1"/>
  <c r="M9" i="86" s="1"/>
  <c r="M16" i="83"/>
  <c r="P16" i="83" s="1"/>
  <c r="T16" i="83" s="1"/>
  <c r="K8" i="84"/>
  <c r="L8" i="84" s="1"/>
  <c r="M8" i="84" s="1"/>
  <c r="Q8" i="84" s="1"/>
  <c r="T8" i="84" s="1"/>
  <c r="U8" i="84" s="1"/>
  <c r="K9" i="84"/>
  <c r="L9" i="84" s="1"/>
  <c r="M9" i="84" s="1"/>
  <c r="Q9" i="84" s="1"/>
  <c r="T9" i="84" s="1"/>
  <c r="U9" i="84" s="1"/>
  <c r="O28" i="84"/>
  <c r="S28" i="84" s="1"/>
  <c r="M28" i="84"/>
  <c r="Q28" i="84" s="1"/>
  <c r="T28" i="84" s="1"/>
  <c r="U28" i="84" s="1"/>
  <c r="M16" i="84"/>
  <c r="Q16" i="84" s="1"/>
  <c r="O16" i="84"/>
  <c r="S16" i="84" s="1"/>
  <c r="O20" i="84"/>
  <c r="S20" i="84" s="1"/>
  <c r="T20" i="84" s="1"/>
  <c r="U20" i="84" s="1"/>
  <c r="M14" i="84"/>
  <c r="Q14" i="84" s="1"/>
  <c r="T14" i="84" s="1"/>
  <c r="U14" i="84" s="1"/>
  <c r="M24" i="84"/>
  <c r="Q24" i="84" s="1"/>
  <c r="T24" i="84" s="1"/>
  <c r="U24" i="84" s="1"/>
  <c r="T37" i="84"/>
  <c r="U37" i="84" s="1"/>
  <c r="L21" i="68"/>
  <c r="M21" i="68" s="1"/>
  <c r="N21" i="68" s="1"/>
  <c r="R21" i="68" s="1"/>
  <c r="L22" i="68"/>
  <c r="M22" i="68" s="1"/>
  <c r="N22" i="68" s="1"/>
  <c r="R22" i="68" s="1"/>
  <c r="Q30" i="70"/>
  <c r="U30" i="70" s="1"/>
  <c r="O30" i="70"/>
  <c r="S30" i="70" s="1"/>
  <c r="V30" i="70" s="1"/>
  <c r="W30" i="70" s="1"/>
  <c r="Q16" i="70"/>
  <c r="U16" i="70" s="1"/>
  <c r="O16" i="70"/>
  <c r="S16" i="70" s="1"/>
  <c r="V16" i="70" s="1"/>
  <c r="W16" i="70" s="1"/>
  <c r="Q17" i="70"/>
  <c r="U17" i="70" s="1"/>
  <c r="O17" i="70"/>
  <c r="S17" i="70" s="1"/>
  <c r="O41" i="70"/>
  <c r="S41" i="70" s="1"/>
  <c r="Q41" i="70"/>
  <c r="U41" i="70" s="1"/>
  <c r="O23" i="70"/>
  <c r="S23" i="70" s="1"/>
  <c r="V23" i="70" s="1"/>
  <c r="W23" i="70" s="1"/>
  <c r="O19" i="70"/>
  <c r="S19" i="70" s="1"/>
  <c r="V19" i="70" s="1"/>
  <c r="Q52" i="70"/>
  <c r="U52" i="70" s="1"/>
  <c r="V52" i="70" s="1"/>
  <c r="W52" i="70" s="1"/>
  <c r="O20" i="70"/>
  <c r="S20" i="70" s="1"/>
  <c r="V20" i="70" s="1"/>
  <c r="W20" i="70" s="1"/>
  <c r="M40" i="70"/>
  <c r="N40" i="70" s="1"/>
  <c r="O40" i="70" s="1"/>
  <c r="S40" i="70" s="1"/>
  <c r="V40" i="70" s="1"/>
  <c r="W40" i="70" s="1"/>
  <c r="M31" i="70"/>
  <c r="N31" i="70" s="1"/>
  <c r="O31" i="70" s="1"/>
  <c r="S31" i="70" s="1"/>
  <c r="V31" i="70" s="1"/>
  <c r="W31" i="70" s="1"/>
  <c r="M39" i="70"/>
  <c r="N39" i="70" s="1"/>
  <c r="O39" i="70" s="1"/>
  <c r="S39" i="70" s="1"/>
  <c r="V39" i="70" s="1"/>
  <c r="W39" i="70" s="1"/>
  <c r="M49" i="70"/>
  <c r="N49" i="70" s="1"/>
  <c r="O49" i="70" s="1"/>
  <c r="S49" i="70" s="1"/>
  <c r="V49" i="70" s="1"/>
  <c r="W49" i="70" s="1"/>
  <c r="Q20" i="70"/>
  <c r="U20" i="70" s="1"/>
  <c r="M43" i="70"/>
  <c r="N43" i="70" s="1"/>
  <c r="O21" i="70"/>
  <c r="S21" i="70" s="1"/>
  <c r="V21" i="70" s="1"/>
  <c r="W21" i="70" s="1"/>
  <c r="O22" i="70"/>
  <c r="S22" i="70" s="1"/>
  <c r="M27" i="70"/>
  <c r="N27" i="70" s="1"/>
  <c r="O27" i="70" s="1"/>
  <c r="S27" i="70" s="1"/>
  <c r="V27" i="70" s="1"/>
  <c r="W27" i="70" s="1"/>
  <c r="M42" i="70"/>
  <c r="N42" i="70" s="1"/>
  <c r="O42" i="70" s="1"/>
  <c r="S42" i="70" s="1"/>
  <c r="V42" i="70" s="1"/>
  <c r="W42" i="70" s="1"/>
  <c r="Q22" i="70"/>
  <c r="U22" i="70" s="1"/>
  <c r="O22" i="89"/>
  <c r="S22" i="89" s="1"/>
  <c r="M22" i="89"/>
  <c r="Q22" i="89" s="1"/>
  <c r="T22" i="89" s="1"/>
  <c r="U22" i="89" s="1"/>
  <c r="M13" i="89"/>
  <c r="Q13" i="89" s="1"/>
  <c r="O13" i="89"/>
  <c r="S13" i="89" s="1"/>
  <c r="P12" i="82"/>
  <c r="T12" i="82" s="1"/>
  <c r="N12" i="82"/>
  <c r="R12" i="82" s="1"/>
  <c r="U12" i="82" s="1"/>
  <c r="V12" i="82" s="1"/>
  <c r="P8" i="82"/>
  <c r="T8" i="82" s="1"/>
  <c r="N8" i="82"/>
  <c r="R8" i="82" s="1"/>
  <c r="N15" i="82"/>
  <c r="R15" i="82" s="1"/>
  <c r="P15" i="82"/>
  <c r="T15" i="82" s="1"/>
  <c r="N8" i="83"/>
  <c r="R8" i="83" s="1"/>
  <c r="U8" i="83" s="1"/>
  <c r="V8" i="83" s="1"/>
  <c r="L20" i="68"/>
  <c r="M20" i="68" s="1"/>
  <c r="N20" i="68" s="1"/>
  <c r="R20" i="68" s="1"/>
  <c r="U20" i="68" s="1"/>
  <c r="V20" i="68" s="1"/>
  <c r="N11" i="68"/>
  <c r="R11" i="68" s="1"/>
  <c r="N16" i="68"/>
  <c r="R16" i="68" s="1"/>
  <c r="U16" i="68" s="1"/>
  <c r="W19" i="70"/>
  <c r="T11" i="68"/>
  <c r="P21" i="68"/>
  <c r="T21" i="68" s="1"/>
  <c r="P15" i="68"/>
  <c r="T15" i="68" s="1"/>
  <c r="U15" i="68" s="1"/>
  <c r="R12" i="92"/>
  <c r="V12" i="92" s="1"/>
  <c r="P12" i="92"/>
  <c r="T12" i="92" s="1"/>
  <c r="W12" i="92" s="1"/>
  <c r="X12" i="92" s="1"/>
  <c r="P9" i="92"/>
  <c r="T9" i="92" s="1"/>
  <c r="P15" i="92"/>
  <c r="T15" i="92" s="1"/>
  <c r="P14" i="92"/>
  <c r="T14" i="92" s="1"/>
  <c r="X14" i="92" s="1"/>
  <c r="S18" i="70"/>
  <c r="V18" i="70" s="1"/>
  <c r="W18" i="70" s="1"/>
  <c r="X15" i="92"/>
  <c r="X9" i="92"/>
  <c r="P26" i="92"/>
  <c r="T26" i="92" s="1"/>
  <c r="R26" i="92"/>
  <c r="V26" i="92" s="1"/>
  <c r="N21" i="92"/>
  <c r="O21" i="92" s="1"/>
  <c r="P21" i="92" s="1"/>
  <c r="T21" i="92" s="1"/>
  <c r="W21" i="92" s="1"/>
  <c r="X21" i="92" s="1"/>
  <c r="W22" i="92"/>
  <c r="X22" i="92" s="1"/>
  <c r="W29" i="92"/>
  <c r="X29" i="92" s="1"/>
  <c r="P8" i="92"/>
  <c r="O9" i="89"/>
  <c r="S9" i="89" s="1"/>
  <c r="M9" i="89"/>
  <c r="Q9" i="89" s="1"/>
  <c r="O21" i="88"/>
  <c r="S21" i="88" s="1"/>
  <c r="M21" i="88"/>
  <c r="Q21" i="88" s="1"/>
  <c r="T21" i="88" s="1"/>
  <c r="U21" i="88" s="1"/>
  <c r="O19" i="89"/>
  <c r="S19" i="89" s="1"/>
  <c r="M19" i="89"/>
  <c r="Q19" i="89" s="1"/>
  <c r="T32" i="84"/>
  <c r="U32" i="84" s="1"/>
  <c r="M16" i="89"/>
  <c r="Q16" i="89" s="1"/>
  <c r="T16" i="89" s="1"/>
  <c r="U16" i="89" s="1"/>
  <c r="T16" i="81"/>
  <c r="U16" i="81" s="1"/>
  <c r="N12" i="83"/>
  <c r="R12" i="83" s="1"/>
  <c r="P12" i="83"/>
  <c r="T12" i="83" s="1"/>
  <c r="M8" i="89"/>
  <c r="Q8" i="89" s="1"/>
  <c r="T8" i="89" s="1"/>
  <c r="U8" i="89" s="1"/>
  <c r="O11" i="89"/>
  <c r="S11" i="89" s="1"/>
  <c r="M11" i="89"/>
  <c r="Q11" i="89" s="1"/>
  <c r="M15" i="88"/>
  <c r="Q15" i="88" s="1"/>
  <c r="O15" i="88"/>
  <c r="S15" i="88" s="1"/>
  <c r="P13" i="82"/>
  <c r="T13" i="82" s="1"/>
  <c r="N13" i="82"/>
  <c r="R13" i="82" s="1"/>
  <c r="O43" i="70"/>
  <c r="S43" i="70" s="1"/>
  <c r="Q43" i="70"/>
  <c r="U43" i="70" s="1"/>
  <c r="O12" i="81"/>
  <c r="S12" i="81" s="1"/>
  <c r="M12" i="81"/>
  <c r="Q12" i="81" s="1"/>
  <c r="T12" i="81" s="1"/>
  <c r="U12" i="81" s="1"/>
  <c r="T11" i="81"/>
  <c r="U11" i="81" s="1"/>
  <c r="M18" i="88"/>
  <c r="Q18" i="88" s="1"/>
  <c r="O18" i="88"/>
  <c r="S18" i="88" s="1"/>
  <c r="S20" i="87"/>
  <c r="T20" i="87" s="1"/>
  <c r="M17" i="81"/>
  <c r="Q17" i="81" s="1"/>
  <c r="T17" i="81" s="1"/>
  <c r="U17" i="81" s="1"/>
  <c r="O17" i="81"/>
  <c r="S17" i="81" s="1"/>
  <c r="J19" i="87"/>
  <c r="K19" i="87" s="1"/>
  <c r="L19" i="87" s="1"/>
  <c r="P19" i="87" s="1"/>
  <c r="S19" i="87" s="1"/>
  <c r="T19" i="87" s="1"/>
  <c r="K11" i="84"/>
  <c r="L11" i="84" s="1"/>
  <c r="T8" i="88"/>
  <c r="U8" i="88" s="1"/>
  <c r="N179" i="91" s="1"/>
  <c r="M48" i="70"/>
  <c r="N48" i="70" s="1"/>
  <c r="M25" i="70"/>
  <c r="N25" i="70" s="1"/>
  <c r="O25" i="70" s="1"/>
  <c r="S25" i="70" s="1"/>
  <c r="V25" i="70" s="1"/>
  <c r="W25" i="70" s="1"/>
  <c r="J17" i="87"/>
  <c r="K17" i="87" s="1"/>
  <c r="K12" i="89"/>
  <c r="L12" i="89" s="1"/>
  <c r="K10" i="84"/>
  <c r="L10" i="84" s="1"/>
  <c r="M10" i="84" s="1"/>
  <c r="Q10" i="84" s="1"/>
  <c r="T10" i="84" s="1"/>
  <c r="U10" i="84" s="1"/>
  <c r="M50" i="70"/>
  <c r="N50" i="70" s="1"/>
  <c r="K11" i="86"/>
  <c r="L11" i="86" s="1"/>
  <c r="M11" i="86" s="1"/>
  <c r="K10" i="89"/>
  <c r="L10" i="89" s="1"/>
  <c r="K8" i="86"/>
  <c r="L8" i="86" s="1"/>
  <c r="M8" i="86" s="1"/>
  <c r="K18" i="89"/>
  <c r="L18" i="89" s="1"/>
  <c r="M18" i="89" s="1"/>
  <c r="Q18" i="89" s="1"/>
  <c r="T18" i="89" s="1"/>
  <c r="U18" i="89" s="1"/>
  <c r="U11" i="68" l="1"/>
  <c r="N16" i="83"/>
  <c r="R16" i="83" s="1"/>
  <c r="V43" i="70"/>
  <c r="W43" i="70" s="1"/>
  <c r="V17" i="70"/>
  <c r="W17" i="70" s="1"/>
  <c r="P22" i="68"/>
  <c r="T22" i="68" s="1"/>
  <c r="T16" i="84"/>
  <c r="U16" i="84" s="1"/>
  <c r="V41" i="70"/>
  <c r="W41" i="70" s="1"/>
  <c r="V22" i="70"/>
  <c r="W22" i="70" s="1"/>
  <c r="T13" i="89"/>
  <c r="U13" i="89" s="1"/>
  <c r="U15" i="82"/>
  <c r="V15" i="82" s="1"/>
  <c r="U8" i="82"/>
  <c r="V8" i="82" s="1"/>
  <c r="U16" i="83"/>
  <c r="V16" i="83" s="1"/>
  <c r="U22" i="68"/>
  <c r="V22" i="68" s="1"/>
  <c r="U21" i="68"/>
  <c r="V21" i="68" s="1"/>
  <c r="X8" i="92"/>
  <c r="T8" i="92"/>
  <c r="W26" i="92"/>
  <c r="X26" i="92" s="1"/>
  <c r="M10" i="89"/>
  <c r="Q10" i="89" s="1"/>
  <c r="O10" i="89"/>
  <c r="S10" i="89" s="1"/>
  <c r="L17" i="87"/>
  <c r="P17" i="87" s="1"/>
  <c r="N17" i="87"/>
  <c r="R17" i="87" s="1"/>
  <c r="M11" i="84"/>
  <c r="Q11" i="84" s="1"/>
  <c r="O11" i="84"/>
  <c r="S11" i="84" s="1"/>
  <c r="Q50" i="70"/>
  <c r="U50" i="70" s="1"/>
  <c r="O50" i="70"/>
  <c r="S50" i="70" s="1"/>
  <c r="V50" i="70" s="1"/>
  <c r="W50" i="70" s="1"/>
  <c r="T15" i="88"/>
  <c r="U15" i="88" s="1"/>
  <c r="O48" i="70"/>
  <c r="S48" i="70" s="1"/>
  <c r="Q48" i="70"/>
  <c r="U48" i="70" s="1"/>
  <c r="T18" i="88"/>
  <c r="U18" i="88" s="1"/>
  <c r="U13" i="82"/>
  <c r="V13" i="82" s="1"/>
  <c r="T11" i="89"/>
  <c r="U11" i="89" s="1"/>
  <c r="U12" i="83"/>
  <c r="V12" i="83" s="1"/>
  <c r="T19" i="89"/>
  <c r="U19" i="89" s="1"/>
  <c r="T9" i="89"/>
  <c r="U9" i="89" s="1"/>
  <c r="M12" i="89"/>
  <c r="Q12" i="89" s="1"/>
  <c r="O12" i="89"/>
  <c r="S12" i="89" s="1"/>
  <c r="T11" i="84" l="1"/>
  <c r="U11" i="84" s="1"/>
  <c r="T10" i="89"/>
  <c r="U10" i="89" s="1"/>
  <c r="S17" i="87"/>
  <c r="T17" i="87" s="1"/>
  <c r="T12" i="89"/>
  <c r="U12" i="89" s="1"/>
  <c r="V48" i="70"/>
  <c r="W48" i="70" s="1"/>
</calcChain>
</file>

<file path=xl/sharedStrings.xml><?xml version="1.0" encoding="utf-8"?>
<sst xmlns="http://schemas.openxmlformats.org/spreadsheetml/2006/main" count="1275" uniqueCount="418">
  <si>
    <t>Artikel</t>
  </si>
  <si>
    <t>Art.Nr.</t>
  </si>
  <si>
    <t>Massenberechnung für Angebotserstellung</t>
  </si>
  <si>
    <t>Sack</t>
  </si>
  <si>
    <t>Pos.</t>
  </si>
  <si>
    <t>Platte</t>
  </si>
  <si>
    <t>Eimer</t>
  </si>
  <si>
    <t>Platten</t>
  </si>
  <si>
    <t>Strohlehm</t>
  </si>
  <si>
    <t>Schwarz = Vorgaben</t>
  </si>
  <si>
    <t>Team:</t>
  </si>
  <si>
    <t>am:</t>
  </si>
  <si>
    <t>Anfrage vom:</t>
  </si>
  <si>
    <t>MASSENBERECHNUNG / STARTSEITE</t>
  </si>
  <si>
    <t>Rote Felder = Eintragen bzw. Überschreiben</t>
  </si>
  <si>
    <t>NUR HIER EINTRAGUNGEN VORNEHMEN!</t>
  </si>
  <si>
    <t>Länge</t>
  </si>
  <si>
    <t>Faktor</t>
  </si>
  <si>
    <t>Fläche</t>
  </si>
  <si>
    <t>Volumen</t>
  </si>
  <si>
    <t>Breite/Höhe</t>
  </si>
  <si>
    <t>Höhe/Tiefe</t>
  </si>
  <si>
    <t>Summen</t>
  </si>
  <si>
    <t>Lehmkleber 25 kg</t>
  </si>
  <si>
    <t>LUP getrock. 15 mm</t>
  </si>
  <si>
    <t>Dämmpl.Schr. L100</t>
  </si>
  <si>
    <t>06.012</t>
  </si>
  <si>
    <t>LP-Mineral 20 10 mm</t>
  </si>
  <si>
    <t>10.810</t>
  </si>
  <si>
    <t>10.113</t>
  </si>
  <si>
    <t>05.113</t>
  </si>
  <si>
    <t>m</t>
  </si>
  <si>
    <t>Anzahl Einheiten</t>
  </si>
  <si>
    <t>LUP getrock. 15 mm 25 kg</t>
  </si>
  <si>
    <t>Leichtlehm, Holz</t>
  </si>
  <si>
    <t>Leichtlehm, Blähton</t>
  </si>
  <si>
    <t>Händler:</t>
  </si>
  <si>
    <t>BV:</t>
  </si>
  <si>
    <t>Telefon:</t>
  </si>
  <si>
    <t>Email:</t>
  </si>
  <si>
    <t>Technische Beratung / Massenberechnung für Angebotserstellung</t>
  </si>
  <si>
    <t>Blaue bzw. graue Felder = berechnete Felder</t>
  </si>
  <si>
    <t>Notizen</t>
  </si>
  <si>
    <t>Putzträger</t>
  </si>
  <si>
    <t>Grundierungen, Vorbehandlungen</t>
  </si>
  <si>
    <t>Grundputze</t>
  </si>
  <si>
    <t>Putzräger</t>
  </si>
  <si>
    <t>Grundputz</t>
  </si>
  <si>
    <t>Oberputz</t>
  </si>
  <si>
    <t>Oberfläche</t>
  </si>
  <si>
    <t>Armierungslage</t>
  </si>
  <si>
    <t>Klebelage</t>
  </si>
  <si>
    <t>Ausgleichsputz</t>
  </si>
  <si>
    <t>LEHMSTEINE UND LEICHTLEHMSTEINE</t>
  </si>
  <si>
    <t>ERP-Nr.:</t>
  </si>
  <si>
    <t>34.020</t>
  </si>
  <si>
    <t>34.001</t>
  </si>
  <si>
    <t>13.410</t>
  </si>
  <si>
    <t>13.415</t>
  </si>
  <si>
    <t>05.201</t>
  </si>
  <si>
    <t>05.230</t>
  </si>
  <si>
    <t>05.010</t>
  </si>
  <si>
    <t>05.210</t>
  </si>
  <si>
    <t>05.036</t>
  </si>
  <si>
    <t>05.236</t>
  </si>
  <si>
    <t>Yosima Lehm-Designputz</t>
  </si>
  <si>
    <t>Yosima Lehm-Farbspachtel</t>
  </si>
  <si>
    <t>50. …</t>
  </si>
  <si>
    <t>Clayfix Lehm-Anstrich</t>
  </si>
  <si>
    <t>09.014</t>
  </si>
  <si>
    <t>05.022</t>
  </si>
  <si>
    <t>05.222</t>
  </si>
  <si>
    <t>10.122</t>
  </si>
  <si>
    <t>35.010</t>
  </si>
  <si>
    <t>Claytec verarbeitungsfertig</t>
  </si>
  <si>
    <t>Spachtel</t>
  </si>
  <si>
    <t>13.530/.531</t>
  </si>
  <si>
    <t>35.013</t>
  </si>
  <si>
    <t>Wickelstaken, Decke</t>
  </si>
  <si>
    <t>30.003</t>
  </si>
  <si>
    <t>Stk</t>
  </si>
  <si>
    <t>09.009</t>
  </si>
  <si>
    <t>Lemix Lehmbauplatte schwer</t>
  </si>
  <si>
    <t>35.120</t>
  </si>
  <si>
    <t>13.555</t>
  </si>
  <si>
    <t>35.115</t>
  </si>
  <si>
    <t>HFA N+F</t>
  </si>
  <si>
    <t>HFA maxi</t>
  </si>
  <si>
    <t>09.221</t>
  </si>
  <si>
    <t>09.226</t>
  </si>
  <si>
    <t>09.010</t>
  </si>
  <si>
    <t>Bekleidungsplatte</t>
  </si>
  <si>
    <t>05.001</t>
  </si>
  <si>
    <t>05.002</t>
  </si>
  <si>
    <t>10.110</t>
  </si>
  <si>
    <t>05.030</t>
  </si>
  <si>
    <t>35.140/100</t>
  </si>
  <si>
    <t>35.130/80</t>
  </si>
  <si>
    <t>35.150</t>
  </si>
  <si>
    <t>09.480</t>
  </si>
  <si>
    <t>HFA Beplankungen</t>
  </si>
  <si>
    <t>35.100</t>
  </si>
  <si>
    <t>35.110</t>
  </si>
  <si>
    <t>21.200</t>
  </si>
  <si>
    <t>21.300</t>
  </si>
  <si>
    <t>21.350</t>
  </si>
  <si>
    <t>21.400</t>
  </si>
  <si>
    <t>21.525</t>
  </si>
  <si>
    <t>00.050</t>
  </si>
  <si>
    <t>07.011</t>
  </si>
  <si>
    <t>07.015</t>
  </si>
  <si>
    <t>04.004</t>
  </si>
  <si>
    <t>30.002</t>
  </si>
  <si>
    <t>31.001</t>
  </si>
  <si>
    <t>03.040</t>
  </si>
  <si>
    <t>03.011</t>
  </si>
  <si>
    <t>07.013</t>
  </si>
  <si>
    <t>07.004</t>
  </si>
  <si>
    <t>06.003</t>
  </si>
  <si>
    <t>13.425</t>
  </si>
  <si>
    <t>13.420</t>
  </si>
  <si>
    <t>13.435</t>
  </si>
  <si>
    <t>13.430</t>
  </si>
  <si>
    <t>05.012</t>
  </si>
  <si>
    <t>10.112</t>
  </si>
  <si>
    <t>40. …</t>
  </si>
  <si>
    <t>19. …</t>
  </si>
  <si>
    <t>30.001</t>
  </si>
  <si>
    <t>*auch als 35.125 LBP-Schrauben 1.000/Karton verfügbar</t>
  </si>
  <si>
    <t>Holzwerk stets übermessen, ca. 20% Abzug, wenn gewünscht</t>
  </si>
  <si>
    <t>05.810</t>
  </si>
  <si>
    <t>09.015</t>
  </si>
  <si>
    <t>10.130</t>
  </si>
  <si>
    <t>05.032</t>
  </si>
  <si>
    <t>35.011</t>
  </si>
  <si>
    <t>35.014</t>
  </si>
  <si>
    <t>Lehmbauplatten</t>
  </si>
  <si>
    <t>09.540</t>
  </si>
  <si>
    <t>09.560</t>
  </si>
  <si>
    <t>Art.-Nr.</t>
  </si>
  <si>
    <t>UK Raster</t>
  </si>
  <si>
    <t>Schrauben/Platte</t>
  </si>
  <si>
    <t>Schrauben/m2</t>
  </si>
  <si>
    <t>Faktor Aufrundung</t>
  </si>
  <si>
    <t>m2 je Gebinde</t>
  </si>
  <si>
    <t>Platten/m2</t>
  </si>
  <si>
    <t>Breite m</t>
  </si>
  <si>
    <t>Länge m</t>
  </si>
  <si>
    <t>Gebinde</t>
  </si>
  <si>
    <t>Claytec HFA maxi, Schrauben 100 Stk</t>
  </si>
  <si>
    <t>HFD Innendämmplatte D ..,Schrauben, Dübel, Teller 100 Stk</t>
  </si>
  <si>
    <t>Korkdämmplatte (CELLCO) D ..,Schrauben, Dübel, Teller 100 Stk</t>
  </si>
  <si>
    <t>HFD Innendämmplatte D ..,Schrauben L80 200 Stk</t>
  </si>
  <si>
    <t>Korkdämmplatte (CELLCO) D ..,Schrauben L80 200 Stk</t>
  </si>
  <si>
    <t>m2/Platte</t>
  </si>
  <si>
    <t>09.510</t>
  </si>
  <si>
    <t xml:space="preserve">CLAYTEC GmbH &amp; Co. KG - Baustoffe aus Lehm / Nettetaler Straße 113, 41751 Viersen, </t>
  </si>
  <si>
    <t>CLAYTEC GmbH &amp; Co. KG - Baustoffe aus Lehm / Nettetaler Straße 113, 41751 Viersen</t>
  </si>
  <si>
    <t>35.140/120</t>
  </si>
  <si>
    <t>35.130/100</t>
  </si>
  <si>
    <t>35.140/140</t>
  </si>
  <si>
    <t>35.130/120</t>
  </si>
  <si>
    <t>13.005</t>
  </si>
  <si>
    <t>13.105</t>
  </si>
  <si>
    <t>ggf. Objekt:</t>
  </si>
  <si>
    <t>Kommission</t>
  </si>
  <si>
    <t>ggf. Handwerker:</t>
  </si>
  <si>
    <t>ggf. Architekt:</t>
  </si>
  <si>
    <t>Kundenkontakt:</t>
  </si>
  <si>
    <t>ggf. Endverbr:</t>
  </si>
  <si>
    <r>
      <rPr>
        <sz val="12"/>
        <rFont val="Calibri"/>
        <family val="2"/>
      </rPr>
      <t xml:space="preserve">Prozentuale </t>
    </r>
    <r>
      <rPr>
        <b/>
        <sz val="12"/>
        <rFont val="Calibri"/>
        <family val="2"/>
      </rPr>
      <t xml:space="preserve">Abzüge </t>
    </r>
    <r>
      <rPr>
        <sz val="12"/>
        <rFont val="Calibri"/>
        <family val="2"/>
      </rPr>
      <t xml:space="preserve">oder </t>
    </r>
    <r>
      <rPr>
        <b/>
        <sz val="12"/>
        <rFont val="Calibri"/>
        <family val="2"/>
      </rPr>
      <t>Zuschläge</t>
    </r>
    <r>
      <rPr>
        <sz val="12"/>
        <rFont val="Calibri"/>
        <family val="2"/>
      </rPr>
      <t xml:space="preserve"> gemäß den CLAYTEC Arbeitsblättern sind </t>
    </r>
    <r>
      <rPr>
        <b/>
        <sz val="12"/>
        <rFont val="Calibri"/>
        <family val="2"/>
      </rPr>
      <t xml:space="preserve">nicht </t>
    </r>
    <r>
      <rPr>
        <sz val="12"/>
        <rFont val="Calibri"/>
        <family val="2"/>
      </rPr>
      <t>eingerechnet.</t>
    </r>
  </si>
  <si>
    <t>YOSIMA, CLAYFIX, verabeitungsfertige Lehmfarbe</t>
  </si>
  <si>
    <t>Lehmbauplatten Beplankungen</t>
  </si>
  <si>
    <t>Lehmbauplatten und HFA Bekleidungen</t>
  </si>
  <si>
    <t>Lehmputz</t>
  </si>
  <si>
    <t>Fachwerk, Flechtwerk und Bewurf</t>
  </si>
  <si>
    <t>Fachwerk, Lehmsteine</t>
  </si>
  <si>
    <t>Kalkputz</t>
  </si>
  <si>
    <t>Innendämmung Leichtlehm und Leichtlehmsteine</t>
  </si>
  <si>
    <t>Innendämmung HFD-Platten</t>
  </si>
  <si>
    <t>Lehmstein-Mauerwerk</t>
  </si>
  <si>
    <t>Dieses Blatt ist eine Hilfe für die Berechnung von Flächen und Volumina.</t>
  </si>
  <si>
    <t>Dieses Blatt dient der Information zum Bedarf von Befestigungsmitteln</t>
  </si>
  <si>
    <t xml:space="preserve">Unterpos. 
Zusätze </t>
  </si>
  <si>
    <t>Pos.
LV (ggf.)</t>
  </si>
  <si>
    <t>Pos. 
CLAYTEC</t>
  </si>
  <si>
    <r>
      <t xml:space="preserve">In der Spalte B </t>
    </r>
    <r>
      <rPr>
        <b/>
        <sz val="12"/>
        <rFont val="Calibri"/>
        <family val="2"/>
      </rPr>
      <t>Pos. CLAYTEC</t>
    </r>
    <r>
      <rPr>
        <sz val="12"/>
        <rFont val="Calibri"/>
        <family val="2"/>
      </rPr>
      <t xml:space="preserve"> wird die Positionsnummer eingebenen, die im CLAYTEC Angebot erscheinen soll, hier wird die Reihenfolge der Pos. bestimmt.</t>
    </r>
  </si>
  <si>
    <r>
      <t xml:space="preserve">In der Spalte D </t>
    </r>
    <r>
      <rPr>
        <b/>
        <sz val="12"/>
        <rFont val="Calibri"/>
        <family val="2"/>
      </rPr>
      <t xml:space="preserve">Pos. LV (ggf.) </t>
    </r>
    <r>
      <rPr>
        <sz val="12"/>
        <rFont val="Calibri"/>
        <family val="2"/>
      </rPr>
      <t>können die Pos. ggf. vorliegender LV eingetragen werden, um die Zurordnung zu dokumentieren.</t>
    </r>
  </si>
  <si>
    <r>
      <t xml:space="preserve">Im Tabellenblatt </t>
    </r>
    <r>
      <rPr>
        <b/>
        <sz val="12"/>
        <rFont val="Calibri"/>
        <family val="2"/>
      </rPr>
      <t xml:space="preserve">ZUSAMMENSTELLUNG </t>
    </r>
    <r>
      <rPr>
        <sz val="12"/>
        <rFont val="Calibri"/>
        <family val="2"/>
      </rPr>
      <t>werden die Eingaben zusammengefasst und nach Pos. Reihenfolge sortiert.</t>
    </r>
  </si>
  <si>
    <t>Fläche m²</t>
  </si>
  <si>
    <t>Big-Bag</t>
  </si>
  <si>
    <t>Beutel</t>
  </si>
  <si>
    <t>aufger.</t>
  </si>
  <si>
    <t>+</t>
  </si>
  <si>
    <t>Rest</t>
  </si>
  <si>
    <t>ganze P.</t>
  </si>
  <si>
    <t>Einheiten</t>
  </si>
  <si>
    <t>m² /Einheit</t>
  </si>
  <si>
    <t>Rolle</t>
  </si>
  <si>
    <t>Karton</t>
  </si>
  <si>
    <t>Einh.
ERP</t>
  </si>
  <si>
    <t>Dicke mm</t>
  </si>
  <si>
    <t>gewählt
Stückzahl</t>
  </si>
  <si>
    <t>10.2..</t>
  </si>
  <si>
    <t>Lehm-Farbputz grob</t>
  </si>
  <si>
    <t>Decke</t>
  </si>
  <si>
    <t>Wand</t>
  </si>
  <si>
    <t>Lemix Platte D22 Wand, Schrauben 100 Stk</t>
  </si>
  <si>
    <t>Lemix Platte D22 Decke, D16 Wand/Decke, Schrauben 100 Stk</t>
  </si>
  <si>
    <t>Claytec HFA N+F D20 Wand, Schrauben 100 Stk</t>
  </si>
  <si>
    <t>Claytec HFA N+F D20 Decke Schrauben 100 Stk</t>
  </si>
  <si>
    <t>Bund</t>
  </si>
  <si>
    <t>Lehm-Mauermörtel leicht =&gt; NF 11,5 cm</t>
  </si>
  <si>
    <t>Lehm-Mauermörtel leicht =&gt; 2DF 11,5 cm</t>
  </si>
  <si>
    <t>Lehm-Mauermörtel leicht =&gt; 3DF 17,5 cm</t>
  </si>
  <si>
    <t>Stein</t>
  </si>
  <si>
    <t>Lehmstein leicht NF 1200, Q1, D 11,5 cm, 416/Pal.</t>
  </si>
  <si>
    <t>Lehmstein leicht NF 1200, Q2, D 11,5 cm, 416/Pal.</t>
  </si>
  <si>
    <t>Lehmstein leicht 2DF 900, D 11,5 cm, 350/Pal</t>
  </si>
  <si>
    <t>Lehmstein leicht 3DF 900, D 17,5 cm, 240/Pal</t>
  </si>
  <si>
    <t>Lehmstein schwer NF 1850, 312/Pal.</t>
  </si>
  <si>
    <t>Lehmstein schwer 2DF 2200, 168/Pal.</t>
  </si>
  <si>
    <t>Lehmstein schwer NF 1800 (Grünling), 336/Pal.</t>
  </si>
  <si>
    <t>Lehmstein schwer 2DF 1600 (Grünling), 224/Pal.</t>
  </si>
  <si>
    <t>07.018</t>
  </si>
  <si>
    <t>07.021</t>
  </si>
  <si>
    <t>05.020</t>
  </si>
  <si>
    <t>05.220</t>
  </si>
  <si>
    <t>Wanddicke</t>
  </si>
  <si>
    <t>Wandicken</t>
  </si>
  <si>
    <t>Dreiecksleisten, Lärche, Bund 12 x 2,0 m</t>
  </si>
  <si>
    <t>Weidenruten, Bund 40 x 2,7 m</t>
  </si>
  <si>
    <t>Eichenstaken scharfkantig, Geflecht</t>
  </si>
  <si>
    <t>Eichenstaken scharfkantig, Spaliere</t>
  </si>
  <si>
    <t>Eichenstaken scharfkantig, Decken</t>
  </si>
  <si>
    <t>Eichenstaken abgeschrägt, Geflecht</t>
  </si>
  <si>
    <t>Eichenstaken abgeschrägt, Spaliere</t>
  </si>
  <si>
    <t>Eichenstaken abgeschrägt, Decken</t>
  </si>
  <si>
    <t>gewählt =
Einheiten ERP</t>
  </si>
  <si>
    <t>LUP erdf. 15 mm, 1,0 t</t>
  </si>
  <si>
    <t>Dämmpl.-Dübel L 100, 100/Karton</t>
  </si>
  <si>
    <t>Dämmpl.-Schrauben L 80, 200/Karton</t>
  </si>
  <si>
    <t>Dämmpl.-Isolierteller L 100/Karton</t>
  </si>
  <si>
    <t>Dämmpl.-Dübel L 120, 100/Karton</t>
  </si>
  <si>
    <t>Dämmpl.-Schrauben L 100, 100/Karton</t>
  </si>
  <si>
    <t>Dämmpl.-Dübel L 140, 100/Karton</t>
  </si>
  <si>
    <t>Dämmpl.-Schrauben L 120, 100/Karton</t>
  </si>
  <si>
    <t>LUP erdf. 15 mm, 0,5 t</t>
  </si>
  <si>
    <t>Dämmplatten</t>
  </si>
  <si>
    <t>Korkdämmplatte (CELLCO) D40, 112/Pal</t>
  </si>
  <si>
    <t>Korkdämmplatte (CELLCO) D60, 70/Pal</t>
  </si>
  <si>
    <t>09.445</t>
  </si>
  <si>
    <t>09.465</t>
  </si>
  <si>
    <t>09.485</t>
  </si>
  <si>
    <t>HFD Innendämmplatte D40, 84/Pal</t>
  </si>
  <si>
    <t>HFD Innendämmplatte D60, 57/Pal</t>
  </si>
  <si>
    <t>HFD Innendämmplatte D80, 42/Pal</t>
  </si>
  <si>
    <t>Leichtlehmsteinmauerwerk</t>
  </si>
  <si>
    <t>Leichtlehm</t>
  </si>
  <si>
    <t>Lehm-Mauermörtel leicht, Schalenfuge</t>
  </si>
  <si>
    <t>m2</t>
  </si>
  <si>
    <t>BBgs</t>
  </si>
  <si>
    <t>Stck</t>
  </si>
  <si>
    <t>* Sonderprodukt, nur für bestimmte Verwendungen</t>
  </si>
  <si>
    <t>HÄ / HW / ARCH / EV:</t>
  </si>
  <si>
    <t>ggf. abgest. mit Kunde, Name:</t>
  </si>
  <si>
    <t>ggf. Rabattempfehlung:</t>
  </si>
  <si>
    <t xml:space="preserve">13.412 </t>
  </si>
  <si>
    <t>Grundierung DIE WEISSE</t>
  </si>
  <si>
    <t>Grundierung DIE GELBE</t>
  </si>
  <si>
    <t>Yosima L-Dp, 20 kg-Eimer, 32/Pal</t>
  </si>
  <si>
    <t>Clayfix Lehm-Anstrich 10 kg-Eimer</t>
  </si>
  <si>
    <t>Clayfix Lehm-Anstrich 1,5 kg-Beutel</t>
  </si>
  <si>
    <t>34.003</t>
  </si>
  <si>
    <t xml:space="preserve">Rolle </t>
  </si>
  <si>
    <t>34.002</t>
  </si>
  <si>
    <t xml:space="preserve">13.405  </t>
  </si>
  <si>
    <t>Flasche</t>
  </si>
  <si>
    <t>L-Up 25 kg-Sack, 48/Pal</t>
  </si>
  <si>
    <t>Lp-Mineral 20 25 kg-Sack, 48/Pal</t>
  </si>
  <si>
    <t>Bewehrung</t>
  </si>
  <si>
    <t xml:space="preserve">Grund- und Deckputze </t>
  </si>
  <si>
    <t>Oberputze grob und fein</t>
  </si>
  <si>
    <t>L-OP fein 06 25 kg-Sack, 48/Pal</t>
  </si>
  <si>
    <t>Lehm-Farbputz grob 25 kg-Sack, 48/Pal</t>
  </si>
  <si>
    <t>ggf. Farbton
oder Art.-Nr.</t>
  </si>
  <si>
    <t>ggf. Zuschlag
oder Art.-Nr.</t>
  </si>
  <si>
    <t>Schilfrohrgewebe B 1,8 m, nur Holzwerk (33%)</t>
  </si>
  <si>
    <t>Lehmbauplatte schwer (Lemix) D16, 60/Pal</t>
  </si>
  <si>
    <t>Lehmbauplatte schwer (Lemix) D22, 40/Pal</t>
  </si>
  <si>
    <t>Lehm-Fugenfüller</t>
  </si>
  <si>
    <t>Trockenbauband</t>
  </si>
  <si>
    <t>35.071./.072</t>
  </si>
  <si>
    <t>Claytec HFA N+F D20, 112/Pal</t>
  </si>
  <si>
    <t>Lehmklebe- und Armiermörtel 25 kg-Sack, 48/Pal</t>
  </si>
  <si>
    <t>HFA dünn, 276/Pal</t>
  </si>
  <si>
    <t>ggf. Klebelage</t>
  </si>
  <si>
    <t>00.051</t>
  </si>
  <si>
    <t>Dreiecksleisten, Eiche, Bund 12 x 2,0 m</t>
  </si>
  <si>
    <r>
      <t xml:space="preserve">Claytec Lehmfarbe, 10 l-Eimer, 40/Pal </t>
    </r>
    <r>
      <rPr>
        <vertAlign val="superscript"/>
        <sz val="12"/>
        <color indexed="10"/>
        <rFont val="Calibri"/>
        <family val="2"/>
      </rPr>
      <t>1</t>
    </r>
  </si>
  <si>
    <r>
      <t xml:space="preserve">Claytec Lehmfarbe, 10 l-Eimer 40/Pal </t>
    </r>
    <r>
      <rPr>
        <vertAlign val="superscript"/>
        <sz val="12"/>
        <color indexed="10"/>
        <rFont val="Calibri"/>
        <family val="2"/>
      </rPr>
      <t>2</t>
    </r>
  </si>
  <si>
    <r>
      <t xml:space="preserve">Claytec Lehmstreichputz, 10 l-Eimer 40/Pal </t>
    </r>
    <r>
      <rPr>
        <vertAlign val="superscript"/>
        <sz val="12"/>
        <color indexed="10"/>
        <rFont val="Calibri"/>
        <family val="2"/>
      </rPr>
      <t>1</t>
    </r>
  </si>
  <si>
    <r>
      <t xml:space="preserve">Claytec Lehmstreichputz, 10 l-Eimer 40/Pal </t>
    </r>
    <r>
      <rPr>
        <vertAlign val="superscript"/>
        <sz val="12"/>
        <color indexed="10"/>
        <rFont val="Calibri"/>
        <family val="2"/>
      </rPr>
      <t>2</t>
    </r>
  </si>
  <si>
    <t>Schilfplatten</t>
  </si>
  <si>
    <t>Schilfrohr-Leichtbauplatte D20, 50/Pal</t>
  </si>
  <si>
    <t>Schilfrohr-Leichtbauplatte D50, 50/Pal</t>
  </si>
  <si>
    <t>34.010</t>
  </si>
  <si>
    <t>Für Wickelstaken nicht Fläche m2, sondern lfm. Deckenfelder gesamt eingeben</t>
  </si>
  <si>
    <t>Eim.</t>
  </si>
  <si>
    <t>Btl.</t>
  </si>
  <si>
    <t>Mengen-
einheit ERP
ERP</t>
  </si>
  <si>
    <t>ERP</t>
  </si>
  <si>
    <r>
      <t>m</t>
    </r>
    <r>
      <rPr>
        <vertAlign val="superscript"/>
        <sz val="12"/>
        <rFont val="Calibri"/>
        <family val="2"/>
      </rPr>
      <t>2</t>
    </r>
  </si>
  <si>
    <t>Kann.</t>
  </si>
  <si>
    <t>Fl.</t>
  </si>
  <si>
    <t xml:space="preserve">13.400  </t>
  </si>
  <si>
    <t>Roll</t>
  </si>
  <si>
    <t>Pckg</t>
  </si>
  <si>
    <t>13.520/.521</t>
  </si>
  <si>
    <t>lfdm</t>
  </si>
  <si>
    <t>In den folgenden Zeilen werden die allgemeinen Daten der Anfrage erfasst, sie erscheinen auch auf dem Tabellenblatt ZUSAMMENSTELLUNG</t>
  </si>
  <si>
    <t>Grund. DIE GELBE 5 l-Eimer</t>
  </si>
  <si>
    <t>Grund. DIE GELBE 10 l-Eimer</t>
  </si>
  <si>
    <t>Yosima L-Dp, 500 kg-Big-Bag</t>
  </si>
  <si>
    <t>Grund. DIE WEISSE 10 l-Eimer</t>
  </si>
  <si>
    <t>Grund. DIE WEISSE  5 l-Eimer</t>
  </si>
  <si>
    <t>Grund. DIE WEISSE 1 l-Eimer</t>
  </si>
  <si>
    <t>Yosima L-Fs Eimer 5 kg-Eimer</t>
  </si>
  <si>
    <t>Yosima L-Fs 1 kg-Beutel</t>
  </si>
  <si>
    <t>L-Op f 06 800 kg-Big-Bag</t>
  </si>
  <si>
    <t>L-Op f 06 25 kg-Sack, 48/Pal</t>
  </si>
  <si>
    <t>Schilfrohrgewebe B 2,0 m, 5 m-Rolle</t>
  </si>
  <si>
    <t>Tiefengrund und Festiger 10 l-Kanister</t>
  </si>
  <si>
    <t>Tiefengrund und Festiger 1 l-Flasche, 6/Karton</t>
  </si>
  <si>
    <t>L-Up erdfeucht 1 t-Big-Bag als Vorspritz</t>
  </si>
  <si>
    <t>L-Up erdfeucht 1 t-Big-Bag als Schlämme</t>
  </si>
  <si>
    <t>L-Up erdfeucht 0,5 t-Big-Bag</t>
  </si>
  <si>
    <t>L-Up erdfeucht 1,0 t-Big-Bag</t>
  </si>
  <si>
    <t>L-Up trocken 1,0 t-Big-Bag</t>
  </si>
  <si>
    <t>Lehm-Dämmputz leicht 0,45 t-Big-Bag</t>
  </si>
  <si>
    <t>Lehm-Dämmputz leicht 0,9 t-Big-Bag</t>
  </si>
  <si>
    <t>Jutegewebe  50 m-Rolle</t>
  </si>
  <si>
    <t>Grundierung DIE WEISSE 10 l-Eimer</t>
  </si>
  <si>
    <t>Grundierung DIE WEISSE  5 l-Eimer</t>
  </si>
  <si>
    <t>Grundierung DIE WEISSE 1 l-Eimer</t>
  </si>
  <si>
    <t>Grundierung DIE GELBE 10 l-Eimer</t>
  </si>
  <si>
    <t>Grundierung DIE GELBE 5 l-Eimer</t>
  </si>
  <si>
    <t>Grundierung DIE ROTE 10 l-Eimer</t>
  </si>
  <si>
    <t>Grundierung DIE ROTE 5 l-Eimer</t>
  </si>
  <si>
    <t>Lehmklebe- und Armierm. 25 kg-Sack, 48/Pal</t>
  </si>
  <si>
    <t>Lp-Mineral 20 erdfeucht 1,0 t-Big-Bag</t>
  </si>
  <si>
    <t>Lp-Mineral 20 erdfeucht 10,5 t-Big-Bag</t>
  </si>
  <si>
    <t>Lp-Mineral 20 trocken 1,0 t-Big-Bag</t>
  </si>
  <si>
    <t>Lp SanReMo 800 kg-Big-Bag</t>
  </si>
  <si>
    <t>Lp SanReMo 25 kg-Sack, 48/Pal</t>
  </si>
  <si>
    <t>L-Op grob erdfeucht 1,0 t-Big-Bag</t>
  </si>
  <si>
    <t>L-Op grob erdfeucht 0,5 t-Big-Bag</t>
  </si>
  <si>
    <t>L-Op grob trocken 1,0 t-Big-Bag</t>
  </si>
  <si>
    <t>L-Op grob 25 kg-Sack, 48/Pal</t>
  </si>
  <si>
    <t>L-OP fein 06 800 kg-Big-Bag</t>
  </si>
  <si>
    <t xml:space="preserve">Lehmfüll- und Flächensp. 10 kg-Eimer, 33/Pal </t>
  </si>
  <si>
    <t>Kanister</t>
  </si>
  <si>
    <t>Trockenbauband B 50 mm / 75 mm, 25 m-Rolle</t>
  </si>
  <si>
    <t>Glasgewebe 65, 100 m-Rolle</t>
  </si>
  <si>
    <t>Glasgewebe 65, 35 m-Rolle</t>
  </si>
  <si>
    <t>Glasgewebe 112, 100 m-Rolle</t>
  </si>
  <si>
    <t>Glasgewebe 112, 35 m-Rolle</t>
  </si>
  <si>
    <t>Claytec HFA maxi, 45/Pal</t>
  </si>
  <si>
    <t>Mengen-
einheit ERP</t>
  </si>
  <si>
    <t>Korkplatte D10, 30/Paket</t>
  </si>
  <si>
    <r>
      <t>Klebelagen nur anbieten wenn wirklich benötigt! In der Regel keine Schrauben anbieten, die Platten werden meist geklammert. Bei Nachfrage ca. 120 Stk Lbp-Schrauben/m</t>
    </r>
    <r>
      <rPr>
        <vertAlign val="superscript"/>
        <sz val="12"/>
        <rFont val="Calibri"/>
        <family val="2"/>
      </rPr>
      <t>2</t>
    </r>
  </si>
  <si>
    <t>Lehmsteine</t>
  </si>
  <si>
    <t>Lehm-Mauermörtel</t>
  </si>
  <si>
    <t>gräfix 61 Kalk-Dünnschichtputz FEIN 30 kg-Sack, 40/Pal</t>
  </si>
  <si>
    <t>Edelstahl-Putzträgergewebe 5 m-Rolle</t>
  </si>
  <si>
    <t>Edelstahl-Fassadenschrauben 100 Stk-Karton</t>
  </si>
  <si>
    <t>gräfix 61 Kalk-Grundputz HAAR GROB 30 kg-Sack, 40/Pal</t>
  </si>
  <si>
    <r>
      <t xml:space="preserve">gräfix 61 Kalk-Grundputz 30 kg-Sack, 40/Pal </t>
    </r>
    <r>
      <rPr>
        <i/>
        <sz val="11"/>
        <color indexed="10"/>
        <rFont val="Calibri"/>
        <family val="2"/>
      </rPr>
      <t>*</t>
    </r>
  </si>
  <si>
    <r>
      <t xml:space="preserve">gräfix 66 K Kalk Putzglätte 30 kg-Sack, 40/Pal </t>
    </r>
    <r>
      <rPr>
        <i/>
        <sz val="11"/>
        <color indexed="10"/>
        <rFont val="Calibri"/>
        <family val="2"/>
      </rPr>
      <t>*</t>
    </r>
  </si>
  <si>
    <t>gräfix 680 Kalkfarbe 10 l-Eimer, 32/Pal</t>
  </si>
  <si>
    <t>Lemix-Schrauben UK 62,5 cm (D22 Wand) 100 Stk-Karton</t>
  </si>
  <si>
    <t>Lemix-Schrauben UK 31,25 cm (D22 Decke, D16 Wand und Decke) 100 Stk-Karton</t>
  </si>
  <si>
    <t>Lehm-Fugenfüller 1,5 kg-Beutel</t>
  </si>
  <si>
    <r>
      <t>Lbp-Schrauben UK 500 mm (Wand) 100 Stk-Karton</t>
    </r>
    <r>
      <rPr>
        <sz val="12"/>
        <color indexed="60"/>
        <rFont val="Calibri"/>
        <family val="2"/>
      </rPr>
      <t>*</t>
    </r>
  </si>
  <si>
    <r>
      <t>Lbp-Schrauben UK 350 mm (Decke) 100 Stk-Karton</t>
    </r>
    <r>
      <rPr>
        <sz val="12"/>
        <color indexed="60"/>
        <rFont val="Calibri"/>
        <family val="2"/>
      </rPr>
      <t>*</t>
    </r>
  </si>
  <si>
    <r>
      <t>Lbp-Schrauben UK 625 mm (Wand) 100 Stk-Karton</t>
    </r>
    <r>
      <rPr>
        <sz val="12"/>
        <color indexed="60"/>
        <rFont val="Calibri"/>
        <family val="2"/>
      </rPr>
      <t>*</t>
    </r>
  </si>
  <si>
    <r>
      <t>Lbp-Schrauben  UK 469 mm (Decke) 100 Stk-Karton</t>
    </r>
    <r>
      <rPr>
        <sz val="12"/>
        <color indexed="60"/>
        <rFont val="Calibri"/>
        <family val="2"/>
      </rPr>
      <t>*</t>
    </r>
  </si>
  <si>
    <t>Flechtwerk und Bewurf</t>
  </si>
  <si>
    <t>TEAM / VERTRIEBSLEITUNG</t>
  </si>
  <si>
    <t>bearbeitet von (Kürzel):</t>
  </si>
  <si>
    <r>
      <rPr>
        <vertAlign val="superscript"/>
        <sz val="12"/>
        <color indexed="10"/>
        <rFont val="Calibri"/>
        <family val="2"/>
      </rPr>
      <t>1</t>
    </r>
    <r>
      <rPr>
        <sz val="12"/>
        <color indexed="10"/>
        <rFont val="Calibri"/>
        <family val="2"/>
      </rPr>
      <t xml:space="preserve"> Lehmfarbe 18 m² / Lehmstreichputz 15 m² auf rauen stark saugfähigen Flächen wie z.B. Lehm Oberputz-fein 06. </t>
    </r>
  </si>
  <si>
    <r>
      <rPr>
        <vertAlign val="superscript"/>
        <sz val="12"/>
        <color indexed="10"/>
        <rFont val="Calibri"/>
        <family val="2"/>
      </rPr>
      <t>2</t>
    </r>
    <r>
      <rPr>
        <sz val="12"/>
        <color indexed="10"/>
        <rFont val="Calibri"/>
        <family val="2"/>
      </rPr>
      <t xml:space="preserve"> Lehmfarbe 33 m</t>
    </r>
    <r>
      <rPr>
        <vertAlign val="superscript"/>
        <sz val="12"/>
        <color indexed="10"/>
        <rFont val="Calibri"/>
        <family val="2"/>
      </rPr>
      <t>2</t>
    </r>
    <r>
      <rPr>
        <sz val="12"/>
        <color indexed="10"/>
        <rFont val="Calibri"/>
        <family val="2"/>
      </rPr>
      <t xml:space="preserve"> / Lehmstreichputz 28 m</t>
    </r>
    <r>
      <rPr>
        <vertAlign val="superscript"/>
        <sz val="12"/>
        <color indexed="10"/>
        <rFont val="Calibri"/>
        <family val="2"/>
      </rPr>
      <t>2</t>
    </r>
    <r>
      <rPr>
        <sz val="12"/>
        <color indexed="10"/>
        <rFont val="Calibri"/>
        <family val="2"/>
      </rPr>
      <t xml:space="preserve"> auf glatten schwach saugfähigen Flächen wie z.B. Gipskartonplatten.</t>
    </r>
  </si>
  <si>
    <r>
      <t xml:space="preserve">Pro Bausystem gibt es ein Tabellenblatt. Die Liste umfasst 11 Tabellenblätter für die Eingabe. </t>
    </r>
    <r>
      <rPr>
        <b/>
        <sz val="12"/>
        <rFont val="Calibri"/>
        <family val="2"/>
      </rPr>
      <t>Beachten Sie alle Registerkarten (Reiter)!</t>
    </r>
  </si>
  <si>
    <r>
      <t>Fläche m</t>
    </r>
    <r>
      <rPr>
        <b/>
        <vertAlign val="superscript"/>
        <sz val="12"/>
        <color indexed="8"/>
        <rFont val="Calibri"/>
        <family val="2"/>
      </rPr>
      <t>2</t>
    </r>
  </si>
  <si>
    <r>
      <t xml:space="preserve">In der Spalte C </t>
    </r>
    <r>
      <rPr>
        <b/>
        <i/>
        <sz val="12"/>
        <rFont val="Calibri"/>
        <family val="2"/>
      </rPr>
      <t xml:space="preserve">ggf. Postionsart </t>
    </r>
    <r>
      <rPr>
        <sz val="12"/>
        <rFont val="Calibri"/>
        <family val="2"/>
      </rPr>
      <t xml:space="preserve">können von Normalpositionen abweichende Positionsarten eingetragen werden, gebräuchliche Postionsarten siehe z.B. https://www.bauprofessor.de/positionsarten/ </t>
    </r>
  </si>
  <si>
    <t>Lehmstein leicht 2DF 700, D 11,5 cm, 350/Pal</t>
  </si>
  <si>
    <t>Schilfrohrgewebe B 1,8 m, 20 m-Rolle</t>
  </si>
  <si>
    <t>Spalte E
Sortieren</t>
  </si>
  <si>
    <t>Bemerkungen</t>
  </si>
  <si>
    <t>Lehm-Trockenputzplatte, D= 16 mm, 120/Pal</t>
  </si>
  <si>
    <t>Schilfrohrgewebe B 1,8 m, 10 m-Rolle</t>
  </si>
  <si>
    <t>07.010</t>
  </si>
  <si>
    <t>Lehmstein schwer 2DF 2000, 212/Pal.</t>
  </si>
  <si>
    <t>07.032</t>
  </si>
  <si>
    <t>10.120</t>
  </si>
  <si>
    <t>Lehm-Mauermörtel =&gt; NF</t>
  </si>
  <si>
    <t>Lehm-Mauermörtel =&gt; 2DF</t>
  </si>
  <si>
    <t>Lehm-Mauermörtel =&gt; 3DF</t>
  </si>
  <si>
    <t>Lehmstein schwer 3DF 2000, 128/Pal.</t>
  </si>
  <si>
    <t>07.033</t>
  </si>
  <si>
    <t>Lehmbauplatte D22 solar, 50/Pal</t>
  </si>
  <si>
    <t>09.100</t>
  </si>
  <si>
    <t>35.002</t>
  </si>
  <si>
    <t>Lehmbauplatte D22 solar Wand, Schrauben 100 Stk</t>
  </si>
  <si>
    <t>Lehmbauplatte D22 solar Decke, Schrauben 100 Stk</t>
  </si>
  <si>
    <r>
      <t>Lbp-Schrauben UK 62,5 cm ( Wand) 100 Stk-Karton</t>
    </r>
    <r>
      <rPr>
        <sz val="12"/>
        <color indexed="60"/>
        <rFont val="Calibri"/>
        <family val="2"/>
      </rPr>
      <t>*</t>
    </r>
  </si>
  <si>
    <t>Lbp-Schrauben UK 31,25 cm (Decke) 100 Stk-Karton*</t>
  </si>
  <si>
    <t>Stand 10.11.2025 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</si>
</sst>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"/>
    <numFmt numFmtId="166" formatCode="dd/mm/yy;@"/>
    <numFmt numFmtId="167" formatCode="#,##0.0"/>
    <numFmt numFmtId="168" formatCode="0.000"/>
    <numFmt numFmtId="169" formatCode="#,##0.00\ _€"/>
    <numFmt numFmtId="170" formatCode="0.00000"/>
    <numFmt numFmtId="171" formatCode="0.000000"/>
  </numFmts>
  <fonts count="4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b/>
      <sz val="12"/>
      <name val="Calibri"/>
      <family val="2"/>
    </font>
    <font>
      <i/>
      <sz val="11"/>
      <color indexed="10"/>
      <name val="Calibri"/>
      <family val="2"/>
    </font>
    <font>
      <sz val="12"/>
      <color indexed="10"/>
      <name val="Calibri"/>
      <family val="2"/>
    </font>
    <font>
      <vertAlign val="superscript"/>
      <sz val="12"/>
      <color indexed="10"/>
      <name val="Calibri"/>
      <family val="2"/>
    </font>
    <font>
      <vertAlign val="superscript"/>
      <sz val="12"/>
      <name val="Calibri"/>
      <family val="2"/>
    </font>
    <font>
      <sz val="12"/>
      <color indexed="60"/>
      <name val="Calibri"/>
      <family val="2"/>
    </font>
    <font>
      <i/>
      <sz val="10"/>
      <name val="Arial"/>
      <family val="2"/>
    </font>
    <font>
      <b/>
      <vertAlign val="superscript"/>
      <sz val="12"/>
      <color indexed="8"/>
      <name val="Calibri"/>
      <family val="2"/>
    </font>
    <font>
      <b/>
      <i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/>
      <diagonal/>
    </border>
    <border>
      <left style="thick">
        <color rgb="FFC00000"/>
      </left>
      <right style="thick">
        <color theme="5"/>
      </right>
      <top style="thick">
        <color theme="5"/>
      </top>
      <bottom style="thick">
        <color rgb="FFC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 style="mediumDashDot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mediumDashDot">
        <color rgb="FFC00000"/>
      </right>
      <top style="thick">
        <color rgb="FFC00000"/>
      </top>
      <bottom style="thick">
        <color rgb="FFC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29">
    <xf numFmtId="0" fontId="0" fillId="0" borderId="0" xfId="0"/>
    <xf numFmtId="4" fontId="14" fillId="0" borderId="0" xfId="0" applyNumberFormat="1" applyFont="1" applyAlignment="1">
      <alignment vertical="top" wrapText="1"/>
    </xf>
    <xf numFmtId="49" fontId="15" fillId="0" borderId="0" xfId="0" applyNumberFormat="1" applyFont="1" applyAlignment="1">
      <alignment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right" vertical="top"/>
    </xf>
    <xf numFmtId="166" fontId="14" fillId="0" borderId="0" xfId="2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6" fillId="2" borderId="0" xfId="0" applyFont="1" applyFill="1"/>
    <xf numFmtId="0" fontId="0" fillId="2" borderId="0" xfId="0" applyFill="1"/>
    <xf numFmtId="0" fontId="14" fillId="2" borderId="0" xfId="0" applyFont="1" applyFill="1"/>
    <xf numFmtId="4" fontId="15" fillId="0" borderId="0" xfId="0" applyNumberFormat="1" applyFont="1" applyAlignment="1">
      <alignment horizontal="right" vertical="top"/>
    </xf>
    <xf numFmtId="0" fontId="15" fillId="2" borderId="2" xfId="0" applyFont="1" applyFill="1" applyBorder="1" applyAlignment="1">
      <alignment vertical="top" wrapText="1"/>
    </xf>
    <xf numFmtId="49" fontId="15" fillId="2" borderId="3" xfId="0" applyNumberFormat="1" applyFont="1" applyFill="1" applyBorder="1" applyAlignment="1">
      <alignment vertical="top" wrapText="1"/>
    </xf>
    <xf numFmtId="49" fontId="14" fillId="0" borderId="0" xfId="0" applyNumberFormat="1" applyFont="1" applyAlignment="1">
      <alignment vertical="top" wrapText="1"/>
    </xf>
    <xf numFmtId="4" fontId="14" fillId="0" borderId="0" xfId="0" applyNumberFormat="1" applyFont="1" applyAlignment="1">
      <alignment horizontal="right" vertical="top"/>
    </xf>
    <xf numFmtId="167" fontId="14" fillId="0" borderId="0" xfId="0" applyNumberFormat="1" applyFont="1" applyAlignment="1">
      <alignment vertical="top" wrapText="1"/>
    </xf>
    <xf numFmtId="166" fontId="14" fillId="0" borderId="0" xfId="2" applyNumberFormat="1" applyFont="1" applyFill="1" applyBorder="1" applyAlignment="1">
      <alignment horizontal="left" vertical="top"/>
    </xf>
    <xf numFmtId="49" fontId="14" fillId="0" borderId="0" xfId="0" applyNumberFormat="1" applyFont="1" applyAlignment="1">
      <alignment vertical="top"/>
    </xf>
    <xf numFmtId="49" fontId="14" fillId="2" borderId="3" xfId="0" applyNumberFormat="1" applyFont="1" applyFill="1" applyBorder="1" applyAlignment="1">
      <alignment vertical="top"/>
    </xf>
    <xf numFmtId="4" fontId="17" fillId="0" borderId="0" xfId="0" applyNumberFormat="1" applyFont="1" applyAlignment="1">
      <alignment vertical="top" wrapText="1"/>
    </xf>
    <xf numFmtId="49" fontId="14" fillId="2" borderId="4" xfId="0" applyNumberFormat="1" applyFont="1" applyFill="1" applyBorder="1" applyAlignment="1">
      <alignment vertical="top"/>
    </xf>
    <xf numFmtId="4" fontId="14" fillId="2" borderId="5" xfId="0" applyNumberFormat="1" applyFont="1" applyFill="1" applyBorder="1" applyAlignment="1">
      <alignment vertical="top" wrapText="1"/>
    </xf>
    <xf numFmtId="0" fontId="15" fillId="2" borderId="6" xfId="0" applyFont="1" applyFill="1" applyBorder="1" applyAlignment="1">
      <alignment vertical="top"/>
    </xf>
    <xf numFmtId="49" fontId="15" fillId="2" borderId="4" xfId="0" applyNumberFormat="1" applyFont="1" applyFill="1" applyBorder="1" applyAlignment="1">
      <alignment vertical="top"/>
    </xf>
    <xf numFmtId="4" fontId="14" fillId="2" borderId="7" xfId="0" applyNumberFormat="1" applyFont="1" applyFill="1" applyBorder="1" applyAlignment="1">
      <alignment vertical="top"/>
    </xf>
    <xf numFmtId="4" fontId="18" fillId="0" borderId="0" xfId="0" applyNumberFormat="1" applyFont="1" applyAlignment="1">
      <alignment vertical="top" wrapText="1"/>
    </xf>
    <xf numFmtId="167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166" fontId="18" fillId="0" borderId="0" xfId="2" applyNumberFormat="1" applyFont="1" applyFill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166" fontId="18" fillId="0" borderId="0" xfId="2" applyNumberFormat="1" applyFont="1" applyFill="1" applyBorder="1" applyAlignment="1">
      <alignment horizontal="left" vertical="top"/>
    </xf>
    <xf numFmtId="49" fontId="18" fillId="0" borderId="0" xfId="0" applyNumberFormat="1" applyFont="1" applyAlignment="1">
      <alignment vertical="top" wrapText="1"/>
    </xf>
    <xf numFmtId="49" fontId="16" fillId="0" borderId="0" xfId="0" applyNumberFormat="1" applyFont="1" applyAlignment="1">
      <alignment vertical="top" wrapText="1"/>
    </xf>
    <xf numFmtId="0" fontId="16" fillId="0" borderId="0" xfId="0" applyFont="1" applyAlignment="1">
      <alignment horizontal="right" vertical="top"/>
    </xf>
    <xf numFmtId="4" fontId="16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0" fontId="14" fillId="0" borderId="0" xfId="0" applyFont="1"/>
    <xf numFmtId="0" fontId="14" fillId="3" borderId="0" xfId="0" applyFont="1" applyFill="1"/>
    <xf numFmtId="0" fontId="14" fillId="4" borderId="0" xfId="0" applyFont="1" applyFill="1"/>
    <xf numFmtId="49" fontId="14" fillId="3" borderId="0" xfId="0" applyNumberFormat="1" applyFont="1" applyFill="1" applyAlignment="1" applyProtection="1">
      <alignment vertical="top"/>
      <protection locked="0"/>
    </xf>
    <xf numFmtId="0" fontId="20" fillId="3" borderId="0" xfId="0" applyFont="1" applyFill="1" applyAlignment="1" applyProtection="1">
      <alignment vertical="top"/>
      <protection locked="0"/>
    </xf>
    <xf numFmtId="49" fontId="20" fillId="3" borderId="0" xfId="0" applyNumberFormat="1" applyFont="1" applyFill="1" applyAlignment="1" applyProtection="1">
      <alignment vertical="top"/>
      <protection locked="0"/>
    </xf>
    <xf numFmtId="4" fontId="21" fillId="3" borderId="0" xfId="0" applyNumberFormat="1" applyFont="1" applyFill="1" applyAlignment="1" applyProtection="1">
      <alignment vertical="top"/>
      <protection locked="0"/>
    </xf>
    <xf numFmtId="2" fontId="21" fillId="3" borderId="0" xfId="0" applyNumberFormat="1" applyFont="1" applyFill="1" applyAlignment="1" applyProtection="1">
      <alignment vertical="top"/>
      <protection locked="0"/>
    </xf>
    <xf numFmtId="49" fontId="14" fillId="3" borderId="3" xfId="0" applyNumberFormat="1" applyFont="1" applyFill="1" applyBorder="1" applyAlignment="1" applyProtection="1">
      <alignment vertical="top"/>
      <protection locked="0"/>
    </xf>
    <xf numFmtId="0" fontId="21" fillId="3" borderId="0" xfId="0" applyFont="1" applyFill="1" applyAlignment="1" applyProtection="1">
      <alignment vertical="top"/>
      <protection locked="0"/>
    </xf>
    <xf numFmtId="0" fontId="14" fillId="3" borderId="0" xfId="0" applyFont="1" applyFill="1" applyAlignment="1" applyProtection="1">
      <alignment vertical="top"/>
      <protection locked="0"/>
    </xf>
    <xf numFmtId="0" fontId="15" fillId="0" borderId="0" xfId="0" applyFont="1"/>
    <xf numFmtId="4" fontId="18" fillId="3" borderId="2" xfId="0" applyNumberFormat="1" applyFont="1" applyFill="1" applyBorder="1" applyAlignment="1" applyProtection="1">
      <alignment horizontal="right" vertical="top"/>
      <protection locked="0"/>
    </xf>
    <xf numFmtId="49" fontId="14" fillId="0" borderId="1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right" vertical="top" wrapText="1"/>
    </xf>
    <xf numFmtId="49" fontId="14" fillId="2" borderId="2" xfId="0" applyNumberFormat="1" applyFont="1" applyFill="1" applyBorder="1" applyAlignment="1">
      <alignment vertical="top"/>
    </xf>
    <xf numFmtId="49" fontId="14" fillId="2" borderId="6" xfId="0" applyNumberFormat="1" applyFont="1" applyFill="1" applyBorder="1" applyAlignment="1">
      <alignment vertical="top"/>
    </xf>
    <xf numFmtId="0" fontId="14" fillId="0" borderId="1" xfId="0" applyFont="1" applyBorder="1" applyAlignment="1">
      <alignment horizontal="left" vertical="top" wrapText="1"/>
    </xf>
    <xf numFmtId="4" fontId="17" fillId="2" borderId="3" xfId="0" applyNumberFormat="1" applyFont="1" applyFill="1" applyBorder="1" applyAlignment="1">
      <alignment vertical="top" wrapText="1"/>
    </xf>
    <xf numFmtId="4" fontId="14" fillId="2" borderId="4" xfId="0" applyNumberFormat="1" applyFont="1" applyFill="1" applyBorder="1" applyAlignment="1">
      <alignment vertical="top"/>
    </xf>
    <xf numFmtId="4" fontId="14" fillId="2" borderId="3" xfId="0" applyNumberFormat="1" applyFont="1" applyFill="1" applyBorder="1" applyAlignment="1">
      <alignment vertical="top" wrapText="1"/>
    </xf>
    <xf numFmtId="4" fontId="18" fillId="3" borderId="3" xfId="0" applyNumberFormat="1" applyFont="1" applyFill="1" applyBorder="1" applyAlignment="1" applyProtection="1">
      <alignment horizontal="right" vertical="top"/>
      <protection locked="0"/>
    </xf>
    <xf numFmtId="4" fontId="18" fillId="4" borderId="5" xfId="0" applyNumberFormat="1" applyFont="1" applyFill="1" applyBorder="1" applyAlignment="1">
      <alignment horizontal="right" vertical="top" wrapText="1"/>
    </xf>
    <xf numFmtId="4" fontId="18" fillId="4" borderId="3" xfId="0" applyNumberFormat="1" applyFont="1" applyFill="1" applyBorder="1" applyAlignment="1">
      <alignment horizontal="right" vertical="top"/>
    </xf>
    <xf numFmtId="4" fontId="18" fillId="3" borderId="3" xfId="0" applyNumberFormat="1" applyFont="1" applyFill="1" applyBorder="1" applyAlignment="1">
      <alignment horizontal="right" vertical="top"/>
    </xf>
    <xf numFmtId="4" fontId="14" fillId="3" borderId="2" xfId="0" applyNumberFormat="1" applyFont="1" applyFill="1" applyBorder="1" applyAlignment="1" applyProtection="1">
      <alignment horizontal="right" vertical="top"/>
      <protection locked="0"/>
    </xf>
    <xf numFmtId="4" fontId="18" fillId="3" borderId="2" xfId="0" applyNumberFormat="1" applyFont="1" applyFill="1" applyBorder="1" applyAlignment="1" applyProtection="1">
      <alignment horizontal="right" vertical="top" wrapText="1"/>
      <protection locked="0"/>
    </xf>
    <xf numFmtId="4" fontId="14" fillId="3" borderId="2" xfId="0" applyNumberFormat="1" applyFont="1" applyFill="1" applyBorder="1" applyAlignment="1" applyProtection="1">
      <alignment horizontal="right" vertical="top" wrapText="1"/>
      <protection locked="0"/>
    </xf>
    <xf numFmtId="49" fontId="21" fillId="3" borderId="0" xfId="0" applyNumberFormat="1" applyFont="1" applyFill="1" applyAlignment="1" applyProtection="1">
      <alignment vertical="top"/>
      <protection locked="0"/>
    </xf>
    <xf numFmtId="49" fontId="16" fillId="2" borderId="0" xfId="0" applyNumberFormat="1" applyFont="1" applyFill="1" applyAlignment="1">
      <alignment vertical="top" wrapText="1"/>
    </xf>
    <xf numFmtId="4" fontId="18" fillId="2" borderId="0" xfId="0" applyNumberFormat="1" applyFont="1" applyFill="1" applyAlignment="1">
      <alignment vertical="top" wrapText="1"/>
    </xf>
    <xf numFmtId="4" fontId="18" fillId="2" borderId="0" xfId="0" applyNumberFormat="1" applyFont="1" applyFill="1" applyAlignment="1">
      <alignment horizontal="right" vertical="top"/>
    </xf>
    <xf numFmtId="0" fontId="18" fillId="2" borderId="0" xfId="0" applyFont="1" applyFill="1" applyAlignment="1">
      <alignment horizontal="right" vertical="top"/>
    </xf>
    <xf numFmtId="49" fontId="18" fillId="2" borderId="3" xfId="0" applyNumberFormat="1" applyFont="1" applyFill="1" applyBorder="1" applyAlignment="1">
      <alignment vertical="top" wrapText="1"/>
    </xf>
    <xf numFmtId="4" fontId="18" fillId="4" borderId="0" xfId="0" applyNumberFormat="1" applyFont="1" applyFill="1" applyAlignment="1">
      <alignment horizontal="right" vertical="top"/>
    </xf>
    <xf numFmtId="49" fontId="18" fillId="2" borderId="3" xfId="0" applyNumberFormat="1" applyFont="1" applyFill="1" applyBorder="1" applyAlignment="1">
      <alignment vertical="top"/>
    </xf>
    <xf numFmtId="166" fontId="14" fillId="0" borderId="0" xfId="2" applyNumberFormat="1" applyFont="1" applyFill="1" applyBorder="1" applyAlignment="1">
      <alignment horizontal="right" vertical="top" wrapText="1"/>
    </xf>
    <xf numFmtId="3" fontId="21" fillId="3" borderId="0" xfId="0" applyNumberFormat="1" applyFont="1" applyFill="1" applyAlignment="1" applyProtection="1">
      <alignment horizontal="right" vertical="top"/>
      <protection locked="0"/>
    </xf>
    <xf numFmtId="4" fontId="22" fillId="0" borderId="0" xfId="0" applyNumberFormat="1" applyFont="1" applyAlignment="1">
      <alignment horizontal="right" vertical="top"/>
    </xf>
    <xf numFmtId="4" fontId="18" fillId="4" borderId="2" xfId="0" applyNumberFormat="1" applyFont="1" applyFill="1" applyBorder="1" applyAlignment="1">
      <alignment horizontal="right" vertical="top"/>
    </xf>
    <xf numFmtId="166" fontId="16" fillId="0" borderId="0" xfId="2" applyNumberFormat="1" applyFont="1" applyFill="1" applyBorder="1" applyAlignment="1" applyProtection="1">
      <alignment horizontal="left" vertical="top"/>
      <protection locked="0"/>
    </xf>
    <xf numFmtId="166" fontId="18" fillId="0" borderId="0" xfId="2" applyNumberFormat="1" applyFont="1" applyFill="1" applyBorder="1" applyAlignment="1" applyProtection="1">
      <alignment horizontal="left" vertical="top" wrapText="1"/>
      <protection locked="0"/>
    </xf>
    <xf numFmtId="49" fontId="18" fillId="0" borderId="0" xfId="2" applyNumberFormat="1" applyFont="1" applyFill="1" applyBorder="1" applyAlignment="1" applyProtection="1">
      <alignment horizontal="left" vertical="top"/>
      <protection locked="0"/>
    </xf>
    <xf numFmtId="166" fontId="18" fillId="0" borderId="0" xfId="2" applyNumberFormat="1" applyFont="1" applyFill="1" applyBorder="1" applyAlignment="1" applyProtection="1">
      <alignment horizontal="left" vertical="top"/>
      <protection locked="0"/>
    </xf>
    <xf numFmtId="0" fontId="19" fillId="2" borderId="0" xfId="0" applyFont="1" applyFill="1" applyAlignment="1">
      <alignment vertical="top"/>
    </xf>
    <xf numFmtId="0" fontId="18" fillId="2" borderId="3" xfId="0" applyFont="1" applyFill="1" applyBorder="1" applyAlignment="1">
      <alignment vertical="top" wrapText="1"/>
    </xf>
    <xf numFmtId="0" fontId="18" fillId="2" borderId="3" xfId="0" applyFont="1" applyFill="1" applyBorder="1" applyAlignment="1">
      <alignment vertical="top"/>
    </xf>
    <xf numFmtId="0" fontId="18" fillId="2" borderId="2" xfId="0" applyFont="1" applyFill="1" applyBorder="1" applyAlignment="1">
      <alignment horizontal="right" vertical="top"/>
    </xf>
    <xf numFmtId="2" fontId="18" fillId="2" borderId="5" xfId="0" applyNumberFormat="1" applyFont="1" applyFill="1" applyBorder="1" applyAlignment="1">
      <alignment horizontal="right" vertical="top"/>
    </xf>
    <xf numFmtId="3" fontId="16" fillId="4" borderId="5" xfId="0" applyNumberFormat="1" applyFont="1" applyFill="1" applyBorder="1" applyAlignment="1">
      <alignment horizontal="right" vertical="top"/>
    </xf>
    <xf numFmtId="0" fontId="16" fillId="2" borderId="3" xfId="0" applyFont="1" applyFill="1" applyBorder="1" applyAlignment="1">
      <alignment vertical="top" wrapText="1"/>
    </xf>
    <xf numFmtId="0" fontId="23" fillId="0" borderId="0" xfId="0" applyFont="1"/>
    <xf numFmtId="0" fontId="16" fillId="5" borderId="0" xfId="0" applyFont="1" applyFill="1"/>
    <xf numFmtId="0" fontId="0" fillId="5" borderId="0" xfId="0" applyFill="1"/>
    <xf numFmtId="49" fontId="18" fillId="5" borderId="0" xfId="0" applyNumberFormat="1" applyFont="1" applyFill="1" applyAlignment="1">
      <alignment vertical="top" wrapText="1"/>
    </xf>
    <xf numFmtId="0" fontId="16" fillId="5" borderId="0" xfId="0" applyFont="1" applyFill="1" applyAlignment="1">
      <alignment vertical="top" wrapText="1"/>
    </xf>
    <xf numFmtId="49" fontId="16" fillId="5" borderId="0" xfId="0" applyNumberFormat="1" applyFont="1" applyFill="1" applyAlignment="1">
      <alignment vertical="top" wrapText="1"/>
    </xf>
    <xf numFmtId="0" fontId="16" fillId="5" borderId="0" xfId="0" applyFont="1" applyFill="1" applyAlignment="1">
      <alignment horizontal="right" vertical="top"/>
    </xf>
    <xf numFmtId="0" fontId="18" fillId="5" borderId="0" xfId="0" applyFont="1" applyFill="1" applyAlignment="1">
      <alignment horizontal="right" vertical="top"/>
    </xf>
    <xf numFmtId="4" fontId="18" fillId="5" borderId="0" xfId="0" applyNumberFormat="1" applyFont="1" applyFill="1" applyAlignment="1">
      <alignment vertical="top" wrapText="1"/>
    </xf>
    <xf numFmtId="167" fontId="18" fillId="5" borderId="0" xfId="0" applyNumberFormat="1" applyFont="1" applyFill="1" applyAlignment="1">
      <alignment vertical="top" wrapText="1"/>
    </xf>
    <xf numFmtId="4" fontId="18" fillId="5" borderId="0" xfId="0" applyNumberFormat="1" applyFont="1" applyFill="1" applyAlignment="1">
      <alignment horizontal="right" vertical="top"/>
    </xf>
    <xf numFmtId="4" fontId="16" fillId="5" borderId="0" xfId="0" applyNumberFormat="1" applyFont="1" applyFill="1" applyAlignment="1">
      <alignment horizontal="right" vertical="top"/>
    </xf>
    <xf numFmtId="4" fontId="22" fillId="5" borderId="0" xfId="0" applyNumberFormat="1" applyFont="1" applyFill="1" applyAlignment="1">
      <alignment horizontal="right" vertical="top"/>
    </xf>
    <xf numFmtId="0" fontId="18" fillId="5" borderId="0" xfId="0" applyFont="1" applyFill="1" applyAlignment="1">
      <alignment vertical="top"/>
    </xf>
    <xf numFmtId="0" fontId="14" fillId="5" borderId="0" xfId="0" applyFont="1" applyFill="1"/>
    <xf numFmtId="49" fontId="14" fillId="5" borderId="0" xfId="0" applyNumberFormat="1" applyFont="1" applyFill="1" applyAlignment="1">
      <alignment vertical="top" wrapText="1"/>
    </xf>
    <xf numFmtId="0" fontId="15" fillId="5" borderId="0" xfId="0" applyFont="1" applyFill="1" applyAlignment="1">
      <alignment vertical="top" wrapText="1"/>
    </xf>
    <xf numFmtId="49" fontId="15" fillId="5" borderId="0" xfId="0" applyNumberFormat="1" applyFont="1" applyFill="1" applyAlignment="1">
      <alignment vertical="top" wrapText="1"/>
    </xf>
    <xf numFmtId="0" fontId="14" fillId="5" borderId="0" xfId="0" applyFont="1" applyFill="1" applyAlignment="1">
      <alignment vertical="top" wrapText="1"/>
    </xf>
    <xf numFmtId="4" fontId="14" fillId="5" borderId="0" xfId="0" applyNumberFormat="1" applyFont="1" applyFill="1" applyAlignment="1">
      <alignment vertical="top" wrapText="1"/>
    </xf>
    <xf numFmtId="167" fontId="14" fillId="5" borderId="0" xfId="0" applyNumberFormat="1" applyFont="1" applyFill="1" applyAlignment="1">
      <alignment vertical="top" wrapText="1"/>
    </xf>
    <xf numFmtId="4" fontId="14" fillId="5" borderId="0" xfId="0" applyNumberFormat="1" applyFont="1" applyFill="1" applyAlignment="1">
      <alignment horizontal="right" vertical="top"/>
    </xf>
    <xf numFmtId="0" fontId="15" fillId="5" borderId="0" xfId="0" applyFont="1" applyFill="1" applyAlignment="1">
      <alignment horizontal="right" vertical="top"/>
    </xf>
    <xf numFmtId="0" fontId="14" fillId="5" borderId="0" xfId="0" applyFont="1" applyFill="1" applyAlignment="1">
      <alignment horizontal="right" vertical="top"/>
    </xf>
    <xf numFmtId="4" fontId="15" fillId="5" borderId="0" xfId="0" applyNumberFormat="1" applyFont="1" applyFill="1" applyAlignment="1">
      <alignment horizontal="right" vertical="top"/>
    </xf>
    <xf numFmtId="0" fontId="16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6" fillId="5" borderId="0" xfId="0" applyFont="1" applyFill="1" applyAlignment="1">
      <alignment vertical="center" wrapText="1"/>
    </xf>
    <xf numFmtId="49" fontId="16" fillId="5" borderId="0" xfId="0" applyNumberFormat="1" applyFont="1" applyFill="1" applyAlignment="1">
      <alignment vertical="center" wrapText="1"/>
    </xf>
    <xf numFmtId="0" fontId="16" fillId="5" borderId="0" xfId="0" applyFont="1" applyFill="1" applyAlignment="1">
      <alignment horizontal="right" vertical="center"/>
    </xf>
    <xf numFmtId="0" fontId="18" fillId="5" borderId="0" xfId="0" applyFont="1" applyFill="1" applyAlignment="1">
      <alignment horizontal="right" vertical="center"/>
    </xf>
    <xf numFmtId="4" fontId="18" fillId="5" borderId="0" xfId="0" applyNumberFormat="1" applyFont="1" applyFill="1" applyAlignment="1">
      <alignment vertical="center" wrapText="1"/>
    </xf>
    <xf numFmtId="4" fontId="18" fillId="5" borderId="0" xfId="0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0" fontId="14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18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49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166" fontId="14" fillId="0" borderId="0" xfId="2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49" fontId="14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4" fontId="14" fillId="0" borderId="0" xfId="0" applyNumberFormat="1" applyFont="1" applyAlignment="1">
      <alignment vertical="center" wrapText="1"/>
    </xf>
    <xf numFmtId="167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166" fontId="16" fillId="0" borderId="0" xfId="2" applyNumberFormat="1" applyFont="1" applyFill="1" applyBorder="1" applyAlignment="1" applyProtection="1">
      <alignment horizontal="left" vertical="center"/>
      <protection locked="0"/>
    </xf>
    <xf numFmtId="166" fontId="18" fillId="0" borderId="0" xfId="2" applyNumberFormat="1" applyFont="1" applyFill="1" applyBorder="1" applyAlignment="1" applyProtection="1">
      <alignment horizontal="left" vertical="center" wrapText="1"/>
      <protection locked="0"/>
    </xf>
    <xf numFmtId="49" fontId="18" fillId="0" borderId="0" xfId="2" applyNumberFormat="1" applyFont="1" applyFill="1" applyBorder="1" applyAlignment="1" applyProtection="1">
      <alignment horizontal="left" vertical="center"/>
      <protection locked="0"/>
    </xf>
    <xf numFmtId="49" fontId="14" fillId="3" borderId="3" xfId="0" applyNumberFormat="1" applyFont="1" applyFill="1" applyBorder="1" applyAlignment="1" applyProtection="1">
      <alignment vertical="center"/>
      <protection locked="0"/>
    </xf>
    <xf numFmtId="49" fontId="18" fillId="2" borderId="3" xfId="0" applyNumberFormat="1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2" fontId="18" fillId="2" borderId="5" xfId="0" applyNumberFormat="1" applyFont="1" applyFill="1" applyBorder="1" applyAlignment="1">
      <alignment horizontal="right" vertical="center"/>
    </xf>
    <xf numFmtId="4" fontId="18" fillId="4" borderId="2" xfId="0" applyNumberFormat="1" applyFont="1" applyFill="1" applyBorder="1" applyAlignment="1">
      <alignment horizontal="right" vertical="center"/>
    </xf>
    <xf numFmtId="166" fontId="18" fillId="0" borderId="0" xfId="2" applyNumberFormat="1" applyFont="1" applyFill="1" applyBorder="1" applyAlignment="1">
      <alignment horizontal="left" vertical="center"/>
    </xf>
    <xf numFmtId="0" fontId="18" fillId="2" borderId="3" xfId="0" applyFont="1" applyFill="1" applyBorder="1" applyAlignment="1">
      <alignment vertical="center" wrapText="1"/>
    </xf>
    <xf numFmtId="166" fontId="18" fillId="0" borderId="0" xfId="2" applyNumberFormat="1" applyFont="1" applyFill="1" applyBorder="1" applyAlignment="1" applyProtection="1">
      <alignment horizontal="left" vertical="center"/>
      <protection locked="0"/>
    </xf>
    <xf numFmtId="166" fontId="18" fillId="0" borderId="0" xfId="2" applyNumberFormat="1" applyFont="1" applyFill="1" applyBorder="1" applyAlignment="1">
      <alignment horizontal="left" vertical="center" wrapText="1"/>
    </xf>
    <xf numFmtId="166" fontId="14" fillId="0" borderId="0" xfId="2" applyNumberFormat="1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vertical="center"/>
    </xf>
    <xf numFmtId="166" fontId="14" fillId="0" borderId="0" xfId="2" applyNumberFormat="1" applyFont="1" applyFill="1" applyBorder="1" applyAlignment="1">
      <alignment horizontal="left" vertical="center"/>
    </xf>
    <xf numFmtId="49" fontId="14" fillId="3" borderId="0" xfId="0" applyNumberFormat="1" applyFont="1" applyFill="1" applyAlignment="1" applyProtection="1">
      <alignment vertical="center"/>
      <protection locked="0"/>
    </xf>
    <xf numFmtId="0" fontId="14" fillId="3" borderId="0" xfId="0" applyFont="1" applyFill="1" applyAlignment="1" applyProtection="1">
      <alignment vertical="center"/>
      <protection locked="0"/>
    </xf>
    <xf numFmtId="4" fontId="21" fillId="3" borderId="0" xfId="0" applyNumberFormat="1" applyFont="1" applyFill="1" applyAlignment="1" applyProtection="1">
      <alignment vertical="center"/>
      <protection locked="0"/>
    </xf>
    <xf numFmtId="2" fontId="21" fillId="3" borderId="0" xfId="0" applyNumberFormat="1" applyFont="1" applyFill="1" applyAlignment="1" applyProtection="1">
      <alignment vertical="center"/>
      <protection locked="0"/>
    </xf>
    <xf numFmtId="3" fontId="21" fillId="3" borderId="0" xfId="0" applyNumberFormat="1" applyFont="1" applyFill="1" applyAlignment="1" applyProtection="1">
      <alignment horizontal="right" vertical="center"/>
      <protection locked="0"/>
    </xf>
    <xf numFmtId="49" fontId="18" fillId="2" borderId="3" xfId="0" applyNumberFormat="1" applyFont="1" applyFill="1" applyBorder="1" applyAlignment="1">
      <alignment vertical="center"/>
    </xf>
    <xf numFmtId="49" fontId="24" fillId="3" borderId="3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/>
    <xf numFmtId="0" fontId="25" fillId="5" borderId="0" xfId="0" applyFont="1" applyFill="1" applyAlignment="1">
      <alignment vertical="top" wrapText="1"/>
    </xf>
    <xf numFmtId="49" fontId="25" fillId="5" borderId="0" xfId="0" applyNumberFormat="1" applyFont="1" applyFill="1" applyAlignment="1">
      <alignment vertical="top" wrapText="1"/>
    </xf>
    <xf numFmtId="0" fontId="25" fillId="5" borderId="0" xfId="0" applyFont="1" applyFill="1" applyAlignment="1">
      <alignment horizontal="right" vertical="top"/>
    </xf>
    <xf numFmtId="0" fontId="26" fillId="5" borderId="0" xfId="0" applyFont="1" applyFill="1" applyAlignment="1">
      <alignment horizontal="right" vertical="top"/>
    </xf>
    <xf numFmtId="4" fontId="26" fillId="5" borderId="0" xfId="0" applyNumberFormat="1" applyFont="1" applyFill="1" applyAlignment="1">
      <alignment vertical="top" wrapText="1"/>
    </xf>
    <xf numFmtId="4" fontId="26" fillId="5" borderId="0" xfId="0" applyNumberFormat="1" applyFont="1" applyFill="1" applyAlignment="1">
      <alignment horizontal="right" vertical="top"/>
    </xf>
    <xf numFmtId="4" fontId="27" fillId="5" borderId="0" xfId="0" applyNumberFormat="1" applyFont="1" applyFill="1" applyAlignment="1">
      <alignment horizontal="right" vertical="top"/>
    </xf>
    <xf numFmtId="0" fontId="24" fillId="0" borderId="0" xfId="0" applyFont="1" applyAlignment="1">
      <alignment vertical="top"/>
    </xf>
    <xf numFmtId="0" fontId="2" fillId="0" borderId="0" xfId="0" applyFont="1"/>
    <xf numFmtId="0" fontId="25" fillId="0" borderId="0" xfId="0" applyFont="1" applyAlignment="1">
      <alignment vertical="top" wrapText="1"/>
    </xf>
    <xf numFmtId="49" fontId="25" fillId="0" borderId="0" xfId="0" applyNumberFormat="1" applyFont="1" applyAlignment="1">
      <alignment vertical="top" wrapText="1"/>
    </xf>
    <xf numFmtId="0" fontId="25" fillId="0" borderId="0" xfId="0" applyFont="1" applyAlignment="1">
      <alignment horizontal="right" vertical="top"/>
    </xf>
    <xf numFmtId="0" fontId="26" fillId="0" borderId="0" xfId="0" applyFont="1" applyAlignment="1">
      <alignment horizontal="right" vertical="top"/>
    </xf>
    <xf numFmtId="4" fontId="26" fillId="0" borderId="0" xfId="0" applyNumberFormat="1" applyFont="1" applyAlignment="1">
      <alignment vertical="top" wrapText="1"/>
    </xf>
    <xf numFmtId="4" fontId="26" fillId="0" borderId="0" xfId="0" applyNumberFormat="1" applyFont="1" applyAlignment="1">
      <alignment horizontal="right" vertical="top"/>
    </xf>
    <xf numFmtId="4" fontId="27" fillId="0" borderId="0" xfId="0" applyNumberFormat="1" applyFont="1" applyAlignment="1">
      <alignment horizontal="right" vertical="top"/>
    </xf>
    <xf numFmtId="166" fontId="24" fillId="0" borderId="0" xfId="2" applyNumberFormat="1" applyFont="1" applyFill="1" applyBorder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49" fontId="24" fillId="0" borderId="0" xfId="0" applyNumberFormat="1" applyFont="1" applyAlignment="1">
      <alignment vertical="top" wrapText="1"/>
    </xf>
    <xf numFmtId="49" fontId="28" fillId="0" borderId="0" xfId="0" applyNumberFormat="1" applyFont="1" applyAlignment="1">
      <alignment vertical="top" wrapText="1"/>
    </xf>
    <xf numFmtId="4" fontId="24" fillId="0" borderId="0" xfId="0" applyNumberFormat="1" applyFont="1" applyAlignment="1">
      <alignment vertical="top" wrapText="1"/>
    </xf>
    <xf numFmtId="167" fontId="24" fillId="0" borderId="0" xfId="0" applyNumberFormat="1" applyFont="1" applyAlignment="1">
      <alignment vertical="top" wrapText="1"/>
    </xf>
    <xf numFmtId="4" fontId="28" fillId="0" borderId="0" xfId="0" applyNumberFormat="1" applyFont="1" applyAlignment="1">
      <alignment horizontal="right" vertical="top"/>
    </xf>
    <xf numFmtId="166" fontId="25" fillId="0" borderId="0" xfId="2" applyNumberFormat="1" applyFont="1" applyFill="1" applyBorder="1" applyAlignment="1" applyProtection="1">
      <alignment horizontal="left" vertical="top"/>
      <protection locked="0"/>
    </xf>
    <xf numFmtId="166" fontId="26" fillId="0" borderId="0" xfId="2" applyNumberFormat="1" applyFont="1" applyFill="1" applyBorder="1" applyAlignment="1" applyProtection="1">
      <alignment horizontal="left" vertical="top" wrapText="1"/>
      <protection locked="0"/>
    </xf>
    <xf numFmtId="49" fontId="26" fillId="0" borderId="0" xfId="2" applyNumberFormat="1" applyFont="1" applyFill="1" applyBorder="1" applyAlignment="1" applyProtection="1">
      <alignment horizontal="left" vertical="top"/>
      <protection locked="0"/>
    </xf>
    <xf numFmtId="166" fontId="26" fillId="0" borderId="0" xfId="2" applyNumberFormat="1" applyFont="1" applyFill="1" applyBorder="1" applyAlignment="1">
      <alignment horizontal="left" vertical="top"/>
    </xf>
    <xf numFmtId="166" fontId="26" fillId="0" borderId="0" xfId="2" applyNumberFormat="1" applyFont="1" applyFill="1" applyBorder="1" applyAlignment="1" applyProtection="1">
      <alignment horizontal="left" vertical="top"/>
      <protection locked="0"/>
    </xf>
    <xf numFmtId="166" fontId="26" fillId="0" borderId="0" xfId="2" applyNumberFormat="1" applyFont="1" applyFill="1" applyBorder="1" applyAlignment="1">
      <alignment horizontal="left" vertical="top" wrapText="1"/>
    </xf>
    <xf numFmtId="166" fontId="24" fillId="0" borderId="0" xfId="2" applyNumberFormat="1" applyFont="1" applyFill="1" applyBorder="1" applyAlignment="1">
      <alignment horizontal="right" vertical="top" wrapText="1"/>
    </xf>
    <xf numFmtId="166" fontId="24" fillId="0" borderId="0" xfId="2" applyNumberFormat="1" applyFont="1" applyFill="1" applyBorder="1" applyAlignment="1">
      <alignment horizontal="left" vertical="top"/>
    </xf>
    <xf numFmtId="49" fontId="24" fillId="3" borderId="0" xfId="0" applyNumberFormat="1" applyFont="1" applyFill="1" applyAlignment="1" applyProtection="1">
      <alignment vertical="top"/>
      <protection locked="0"/>
    </xf>
    <xf numFmtId="0" fontId="24" fillId="3" borderId="0" xfId="0" applyFont="1" applyFill="1" applyAlignment="1" applyProtection="1">
      <alignment vertical="top"/>
      <protection locked="0"/>
    </xf>
    <xf numFmtId="4" fontId="29" fillId="3" borderId="0" xfId="0" applyNumberFormat="1" applyFont="1" applyFill="1" applyAlignment="1" applyProtection="1">
      <alignment vertical="top"/>
      <protection locked="0"/>
    </xf>
    <xf numFmtId="2" fontId="29" fillId="3" borderId="0" xfId="0" applyNumberFormat="1" applyFont="1" applyFill="1" applyAlignment="1" applyProtection="1">
      <alignment vertical="top"/>
      <protection locked="0"/>
    </xf>
    <xf numFmtId="3" fontId="29" fillId="3" borderId="0" xfId="0" applyNumberFormat="1" applyFont="1" applyFill="1" applyAlignment="1" applyProtection="1">
      <alignment horizontal="right" vertical="top"/>
      <protection locked="0"/>
    </xf>
    <xf numFmtId="49" fontId="26" fillId="0" borderId="0" xfId="0" applyNumberFormat="1" applyFont="1" applyAlignment="1">
      <alignment vertical="top" wrapText="1"/>
    </xf>
    <xf numFmtId="0" fontId="14" fillId="6" borderId="0" xfId="0" applyFont="1" applyFill="1" applyAlignment="1">
      <alignment vertical="top"/>
    </xf>
    <xf numFmtId="49" fontId="18" fillId="2" borderId="5" xfId="0" applyNumberFormat="1" applyFont="1" applyFill="1" applyBorder="1" applyAlignment="1">
      <alignment vertical="top" wrapText="1"/>
    </xf>
    <xf numFmtId="49" fontId="14" fillId="3" borderId="5" xfId="0" applyNumberFormat="1" applyFont="1" applyFill="1" applyBorder="1" applyAlignment="1" applyProtection="1">
      <alignment vertical="top"/>
      <protection locked="0"/>
    </xf>
    <xf numFmtId="49" fontId="18" fillId="0" borderId="5" xfId="2" applyNumberFormat="1" applyFont="1" applyFill="1" applyBorder="1" applyAlignment="1" applyProtection="1">
      <alignment horizontal="left" vertical="top"/>
      <protection locked="0"/>
    </xf>
    <xf numFmtId="2" fontId="14" fillId="2" borderId="0" xfId="0" applyNumberFormat="1" applyFont="1" applyFill="1" applyAlignment="1">
      <alignment vertical="top"/>
    </xf>
    <xf numFmtId="0" fontId="14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top" wrapText="1"/>
    </xf>
    <xf numFmtId="0" fontId="18" fillId="6" borderId="0" xfId="0" applyFont="1" applyFill="1" applyAlignment="1">
      <alignment horizontal="right" vertical="center"/>
    </xf>
    <xf numFmtId="0" fontId="14" fillId="2" borderId="3" xfId="0" applyFont="1" applyFill="1" applyBorder="1" applyAlignment="1">
      <alignment vertical="top"/>
    </xf>
    <xf numFmtId="49" fontId="18" fillId="6" borderId="0" xfId="0" applyNumberFormat="1" applyFont="1" applyFill="1" applyAlignment="1">
      <alignment vertical="center" wrapText="1"/>
    </xf>
    <xf numFmtId="2" fontId="18" fillId="6" borderId="0" xfId="0" applyNumberFormat="1" applyFont="1" applyFill="1" applyAlignment="1">
      <alignment horizontal="right" vertical="center"/>
    </xf>
    <xf numFmtId="0" fontId="18" fillId="6" borderId="0" xfId="0" applyFont="1" applyFill="1" applyAlignment="1">
      <alignment vertical="center"/>
    </xf>
    <xf numFmtId="0" fontId="18" fillId="6" borderId="0" xfId="0" applyFont="1" applyFill="1" applyAlignment="1">
      <alignment vertical="center" wrapText="1"/>
    </xf>
    <xf numFmtId="49" fontId="14" fillId="6" borderId="0" xfId="0" applyNumberFormat="1" applyFont="1" applyFill="1" applyAlignment="1">
      <alignment vertical="center"/>
    </xf>
    <xf numFmtId="2" fontId="14" fillId="6" borderId="0" xfId="0" applyNumberFormat="1" applyFont="1" applyFill="1" applyAlignment="1">
      <alignment vertical="top"/>
    </xf>
    <xf numFmtId="4" fontId="16" fillId="6" borderId="0" xfId="0" applyNumberFormat="1" applyFont="1" applyFill="1" applyAlignment="1">
      <alignment vertical="top" wrapText="1"/>
    </xf>
    <xf numFmtId="4" fontId="18" fillId="6" borderId="0" xfId="0" applyNumberFormat="1" applyFont="1" applyFill="1" applyAlignment="1">
      <alignment horizontal="right" vertical="top"/>
    </xf>
    <xf numFmtId="3" fontId="16" fillId="6" borderId="0" xfId="0" applyNumberFormat="1" applyFont="1" applyFill="1" applyAlignment="1">
      <alignment horizontal="right" vertical="top"/>
    </xf>
    <xf numFmtId="0" fontId="16" fillId="0" borderId="8" xfId="0" applyFont="1" applyBorder="1" applyAlignment="1">
      <alignment horizontal="right" vertical="top"/>
    </xf>
    <xf numFmtId="0" fontId="18" fillId="0" borderId="8" xfId="0" applyFont="1" applyBorder="1" applyAlignment="1">
      <alignment horizontal="right" vertical="top"/>
    </xf>
    <xf numFmtId="0" fontId="16" fillId="6" borderId="0" xfId="0" applyFont="1" applyFill="1" applyAlignment="1">
      <alignment vertical="top" wrapText="1"/>
    </xf>
    <xf numFmtId="49" fontId="16" fillId="6" borderId="0" xfId="0" applyNumberFormat="1" applyFont="1" applyFill="1" applyAlignment="1">
      <alignment vertical="top" wrapText="1"/>
    </xf>
    <xf numFmtId="0" fontId="16" fillId="6" borderId="0" xfId="0" applyFont="1" applyFill="1" applyAlignment="1">
      <alignment horizontal="right" vertical="top"/>
    </xf>
    <xf numFmtId="0" fontId="18" fillId="6" borderId="0" xfId="0" applyFont="1" applyFill="1" applyAlignment="1">
      <alignment horizontal="right" vertical="top"/>
    </xf>
    <xf numFmtId="4" fontId="18" fillId="6" borderId="0" xfId="0" applyNumberFormat="1" applyFont="1" applyFill="1" applyAlignment="1">
      <alignment vertical="top" wrapText="1"/>
    </xf>
    <xf numFmtId="4" fontId="22" fillId="6" borderId="0" xfId="0" applyNumberFormat="1" applyFont="1" applyFill="1" applyAlignment="1">
      <alignment horizontal="right" vertical="top"/>
    </xf>
    <xf numFmtId="0" fontId="26" fillId="6" borderId="0" xfId="0" applyFont="1" applyFill="1" applyAlignment="1">
      <alignment horizontal="right" vertical="top"/>
    </xf>
    <xf numFmtId="4" fontId="26" fillId="6" borderId="0" xfId="0" applyNumberFormat="1" applyFont="1" applyFill="1" applyAlignment="1">
      <alignment horizontal="right" vertical="top"/>
    </xf>
    <xf numFmtId="49" fontId="24" fillId="6" borderId="0" xfId="0" applyNumberFormat="1" applyFont="1" applyFill="1" applyAlignment="1" applyProtection="1">
      <alignment vertical="top"/>
      <protection locked="0"/>
    </xf>
    <xf numFmtId="49" fontId="14" fillId="6" borderId="0" xfId="0" applyNumberFormat="1" applyFont="1" applyFill="1" applyAlignment="1" applyProtection="1">
      <alignment vertical="top"/>
      <protection locked="0"/>
    </xf>
    <xf numFmtId="4" fontId="18" fillId="6" borderId="0" xfId="0" applyNumberFormat="1" applyFont="1" applyFill="1" applyAlignment="1">
      <alignment vertical="top"/>
    </xf>
    <xf numFmtId="0" fontId="18" fillId="6" borderId="0" xfId="0" applyFont="1" applyFill="1" applyAlignment="1">
      <alignment vertical="top" wrapText="1"/>
    </xf>
    <xf numFmtId="49" fontId="18" fillId="6" borderId="0" xfId="0" applyNumberFormat="1" applyFont="1" applyFill="1" applyAlignment="1">
      <alignment vertical="top" wrapText="1"/>
    </xf>
    <xf numFmtId="2" fontId="18" fillId="6" borderId="0" xfId="0" applyNumberFormat="1" applyFont="1" applyFill="1" applyAlignment="1">
      <alignment horizontal="right" vertical="top"/>
    </xf>
    <xf numFmtId="4" fontId="26" fillId="6" borderId="0" xfId="0" applyNumberFormat="1" applyFont="1" applyFill="1" applyAlignment="1">
      <alignment vertical="top"/>
    </xf>
    <xf numFmtId="0" fontId="26" fillId="6" borderId="0" xfId="0" applyFont="1" applyFill="1" applyAlignment="1">
      <alignment vertical="top" wrapText="1"/>
    </xf>
    <xf numFmtId="49" fontId="26" fillId="6" borderId="0" xfId="0" applyNumberFormat="1" applyFont="1" applyFill="1" applyAlignment="1">
      <alignment vertical="top" wrapText="1"/>
    </xf>
    <xf numFmtId="2" fontId="26" fillId="6" borderId="0" xfId="0" applyNumberFormat="1" applyFont="1" applyFill="1" applyAlignment="1">
      <alignment horizontal="right" vertical="top"/>
    </xf>
    <xf numFmtId="4" fontId="25" fillId="6" borderId="0" xfId="0" applyNumberFormat="1" applyFont="1" applyFill="1" applyAlignment="1">
      <alignment vertical="top" wrapText="1"/>
    </xf>
    <xf numFmtId="3" fontId="25" fillId="6" borderId="0" xfId="0" applyNumberFormat="1" applyFont="1" applyFill="1" applyAlignment="1">
      <alignment horizontal="right" vertical="top"/>
    </xf>
    <xf numFmtId="49" fontId="14" fillId="6" borderId="0" xfId="0" applyNumberFormat="1" applyFont="1" applyFill="1" applyAlignment="1">
      <alignment vertical="top"/>
    </xf>
    <xf numFmtId="0" fontId="15" fillId="6" borderId="0" xfId="0" applyFont="1" applyFill="1" applyAlignment="1">
      <alignment vertical="top"/>
    </xf>
    <xf numFmtId="49" fontId="15" fillId="6" borderId="0" xfId="0" applyNumberFormat="1" applyFont="1" applyFill="1" applyAlignment="1">
      <alignment vertical="top"/>
    </xf>
    <xf numFmtId="4" fontId="14" fillId="6" borderId="0" xfId="0" applyNumberFormat="1" applyFont="1" applyFill="1" applyAlignment="1">
      <alignment vertical="top"/>
    </xf>
    <xf numFmtId="3" fontId="30" fillId="6" borderId="0" xfId="0" applyNumberFormat="1" applyFont="1" applyFill="1" applyAlignment="1">
      <alignment horizontal="right" vertical="top"/>
    </xf>
    <xf numFmtId="49" fontId="14" fillId="6" borderId="8" xfId="0" applyNumberFormat="1" applyFont="1" applyFill="1" applyBorder="1" applyAlignment="1" applyProtection="1">
      <alignment vertical="top"/>
      <protection locked="0"/>
    </xf>
    <xf numFmtId="0" fontId="18" fillId="6" borderId="0" xfId="0" applyFont="1" applyFill="1" applyAlignment="1">
      <alignment vertical="top"/>
    </xf>
    <xf numFmtId="49" fontId="18" fillId="6" borderId="0" xfId="0" applyNumberFormat="1" applyFont="1" applyFill="1" applyAlignment="1">
      <alignment vertical="top"/>
    </xf>
    <xf numFmtId="4" fontId="16" fillId="6" borderId="0" xfId="0" applyNumberFormat="1" applyFont="1" applyFill="1" applyAlignment="1">
      <alignment vertical="top"/>
    </xf>
    <xf numFmtId="0" fontId="24" fillId="6" borderId="0" xfId="0" applyFont="1" applyFill="1" applyAlignment="1" applyProtection="1">
      <alignment vertical="top"/>
      <protection locked="0"/>
    </xf>
    <xf numFmtId="4" fontId="29" fillId="6" borderId="0" xfId="0" applyNumberFormat="1" applyFont="1" applyFill="1" applyAlignment="1" applyProtection="1">
      <alignment vertical="top"/>
      <protection locked="0"/>
    </xf>
    <xf numFmtId="2" fontId="29" fillId="6" borderId="0" xfId="0" applyNumberFormat="1" applyFont="1" applyFill="1" applyAlignment="1" applyProtection="1">
      <alignment vertical="top"/>
      <protection locked="0"/>
    </xf>
    <xf numFmtId="3" fontId="29" fillId="6" borderId="0" xfId="0" applyNumberFormat="1" applyFont="1" applyFill="1" applyAlignment="1" applyProtection="1">
      <alignment horizontal="right" vertical="top"/>
      <protection locked="0"/>
    </xf>
    <xf numFmtId="0" fontId="24" fillId="6" borderId="0" xfId="0" applyFont="1" applyFill="1" applyAlignment="1">
      <alignment vertical="top"/>
    </xf>
    <xf numFmtId="49" fontId="24" fillId="6" borderId="0" xfId="0" applyNumberFormat="1" applyFont="1" applyFill="1" applyAlignment="1">
      <alignment vertical="top"/>
    </xf>
    <xf numFmtId="0" fontId="28" fillId="6" borderId="0" xfId="0" applyFont="1" applyFill="1" applyAlignment="1">
      <alignment vertical="top"/>
    </xf>
    <xf numFmtId="49" fontId="28" fillId="6" borderId="0" xfId="0" applyNumberFormat="1" applyFont="1" applyFill="1" applyAlignment="1">
      <alignment vertical="top"/>
    </xf>
    <xf numFmtId="4" fontId="24" fillId="6" borderId="0" xfId="0" applyNumberFormat="1" applyFont="1" applyFill="1" applyAlignment="1">
      <alignment vertical="top"/>
    </xf>
    <xf numFmtId="167" fontId="24" fillId="6" borderId="0" xfId="0" applyNumberFormat="1" applyFont="1" applyFill="1" applyAlignment="1">
      <alignment vertical="top"/>
    </xf>
    <xf numFmtId="4" fontId="28" fillId="6" borderId="0" xfId="0" applyNumberFormat="1" applyFont="1" applyFill="1" applyAlignment="1">
      <alignment horizontal="right" vertical="top"/>
    </xf>
    <xf numFmtId="49" fontId="18" fillId="6" borderId="8" xfId="0" applyNumberFormat="1" applyFont="1" applyFill="1" applyBorder="1" applyAlignment="1">
      <alignment vertical="top" wrapText="1"/>
    </xf>
    <xf numFmtId="0" fontId="18" fillId="6" borderId="8" xfId="0" applyFont="1" applyFill="1" applyBorder="1" applyAlignment="1">
      <alignment horizontal="right" vertical="top"/>
    </xf>
    <xf numFmtId="2" fontId="18" fillId="6" borderId="8" xfId="0" applyNumberFormat="1" applyFont="1" applyFill="1" applyBorder="1" applyAlignment="1">
      <alignment horizontal="right" vertical="top"/>
    </xf>
    <xf numFmtId="4" fontId="16" fillId="6" borderId="8" xfId="0" applyNumberFormat="1" applyFont="1" applyFill="1" applyBorder="1" applyAlignment="1">
      <alignment vertical="top" wrapText="1"/>
    </xf>
    <xf numFmtId="49" fontId="14" fillId="6" borderId="0" xfId="0" applyNumberFormat="1" applyFont="1" applyFill="1" applyAlignment="1">
      <alignment vertical="top" wrapText="1"/>
    </xf>
    <xf numFmtId="0" fontId="15" fillId="6" borderId="0" xfId="0" applyFont="1" applyFill="1" applyAlignment="1">
      <alignment vertical="top" wrapText="1"/>
    </xf>
    <xf numFmtId="49" fontId="15" fillId="6" borderId="0" xfId="0" applyNumberFormat="1" applyFont="1" applyFill="1" applyAlignment="1">
      <alignment vertical="top" wrapText="1"/>
    </xf>
    <xf numFmtId="4" fontId="14" fillId="6" borderId="0" xfId="0" applyNumberFormat="1" applyFont="1" applyFill="1" applyAlignment="1">
      <alignment vertical="top" wrapText="1"/>
    </xf>
    <xf numFmtId="0" fontId="14" fillId="6" borderId="0" xfId="0" applyFont="1" applyFill="1" applyAlignment="1">
      <alignment vertical="top" wrapText="1"/>
    </xf>
    <xf numFmtId="4" fontId="15" fillId="6" borderId="0" xfId="0" applyNumberFormat="1" applyFont="1" applyFill="1" applyAlignment="1">
      <alignment horizontal="right" vertical="top"/>
    </xf>
    <xf numFmtId="0" fontId="18" fillId="6" borderId="8" xfId="0" applyFont="1" applyFill="1" applyBorder="1" applyAlignment="1">
      <alignment vertical="top" wrapText="1"/>
    </xf>
    <xf numFmtId="49" fontId="31" fillId="6" borderId="0" xfId="0" applyNumberFormat="1" applyFont="1" applyFill="1" applyAlignment="1" applyProtection="1">
      <alignment vertical="center"/>
      <protection locked="0"/>
    </xf>
    <xf numFmtId="4" fontId="31" fillId="6" borderId="0" xfId="0" applyNumberFormat="1" applyFont="1" applyFill="1" applyAlignment="1">
      <alignment vertical="center"/>
    </xf>
    <xf numFmtId="0" fontId="31" fillId="6" borderId="0" xfId="0" applyFont="1" applyFill="1" applyAlignment="1">
      <alignment vertical="center" wrapText="1"/>
    </xf>
    <xf numFmtId="49" fontId="31" fillId="6" borderId="0" xfId="0" applyNumberFormat="1" applyFont="1" applyFill="1" applyAlignment="1">
      <alignment vertical="center" wrapText="1"/>
    </xf>
    <xf numFmtId="0" fontId="31" fillId="6" borderId="0" xfId="0" applyFont="1" applyFill="1" applyAlignment="1">
      <alignment horizontal="right" vertical="center"/>
    </xf>
    <xf numFmtId="166" fontId="18" fillId="6" borderId="0" xfId="2" applyNumberFormat="1" applyFont="1" applyFill="1" applyBorder="1" applyAlignment="1" applyProtection="1">
      <alignment horizontal="left" vertical="top" wrapText="1"/>
      <protection locked="0"/>
    </xf>
    <xf numFmtId="49" fontId="18" fillId="6" borderId="0" xfId="2" applyNumberFormat="1" applyFont="1" applyFill="1" applyBorder="1" applyAlignment="1" applyProtection="1">
      <alignment horizontal="left" vertical="top"/>
      <protection locked="0"/>
    </xf>
    <xf numFmtId="166" fontId="16" fillId="6" borderId="0" xfId="2" applyNumberFormat="1" applyFont="1" applyFill="1" applyBorder="1" applyAlignment="1" applyProtection="1">
      <alignment horizontal="left" vertical="top"/>
      <protection locked="0"/>
    </xf>
    <xf numFmtId="166" fontId="18" fillId="6" borderId="0" xfId="2" applyNumberFormat="1" applyFont="1" applyFill="1" applyBorder="1" applyAlignment="1">
      <alignment horizontal="left" vertical="top"/>
    </xf>
    <xf numFmtId="166" fontId="18" fillId="6" borderId="0" xfId="2" applyNumberFormat="1" applyFont="1" applyFill="1" applyBorder="1" applyAlignment="1" applyProtection="1">
      <alignment horizontal="left" vertical="top"/>
      <protection locked="0"/>
    </xf>
    <xf numFmtId="166" fontId="18" fillId="6" borderId="0" xfId="2" applyNumberFormat="1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vertical="center" wrapText="1"/>
    </xf>
    <xf numFmtId="49" fontId="18" fillId="2" borderId="4" xfId="0" applyNumberFormat="1" applyFont="1" applyFill="1" applyBorder="1" applyAlignment="1">
      <alignment vertical="center" wrapText="1"/>
    </xf>
    <xf numFmtId="166" fontId="32" fillId="0" borderId="0" xfId="2" applyNumberFormat="1" applyFont="1" applyFill="1" applyBorder="1" applyAlignment="1">
      <alignment horizontal="right" vertical="center" wrapText="1"/>
    </xf>
    <xf numFmtId="49" fontId="32" fillId="6" borderId="0" xfId="0" applyNumberFormat="1" applyFont="1" applyFill="1" applyAlignment="1" applyProtection="1">
      <alignment vertical="center"/>
      <protection locked="0"/>
    </xf>
    <xf numFmtId="4" fontId="32" fillId="6" borderId="0" xfId="0" applyNumberFormat="1" applyFont="1" applyFill="1" applyAlignment="1">
      <alignment vertical="center"/>
    </xf>
    <xf numFmtId="0" fontId="32" fillId="6" borderId="0" xfId="0" applyFont="1" applyFill="1" applyAlignment="1">
      <alignment horizontal="right" vertical="center"/>
    </xf>
    <xf numFmtId="0" fontId="32" fillId="6" borderId="0" xfId="0" applyFont="1" applyFill="1" applyAlignment="1">
      <alignment vertical="center" wrapText="1"/>
    </xf>
    <xf numFmtId="166" fontId="32" fillId="0" borderId="0" xfId="2" applyNumberFormat="1" applyFont="1" applyFill="1" applyBorder="1" applyAlignment="1">
      <alignment horizontal="left" vertical="center"/>
    </xf>
    <xf numFmtId="166" fontId="32" fillId="0" borderId="0" xfId="2" applyNumberFormat="1" applyFont="1" applyFill="1" applyBorder="1" applyAlignment="1">
      <alignment horizontal="left" vertical="center" wrapText="1"/>
    </xf>
    <xf numFmtId="0" fontId="16" fillId="6" borderId="0" xfId="0" applyFont="1" applyFill="1" applyAlignment="1">
      <alignment vertical="center" wrapText="1"/>
    </xf>
    <xf numFmtId="49" fontId="16" fillId="6" borderId="0" xfId="0" applyNumberFormat="1" applyFont="1" applyFill="1" applyAlignment="1">
      <alignment vertical="center" wrapText="1"/>
    </xf>
    <xf numFmtId="0" fontId="16" fillId="6" borderId="0" xfId="0" applyFont="1" applyFill="1" applyAlignment="1">
      <alignment horizontal="right" vertical="center"/>
    </xf>
    <xf numFmtId="4" fontId="18" fillId="6" borderId="0" xfId="0" applyNumberFormat="1" applyFont="1" applyFill="1" applyAlignment="1">
      <alignment vertical="center" wrapText="1"/>
    </xf>
    <xf numFmtId="0" fontId="32" fillId="0" borderId="0" xfId="0" applyFont="1" applyAlignment="1">
      <alignment horizontal="right" vertical="center"/>
    </xf>
    <xf numFmtId="49" fontId="32" fillId="0" borderId="0" xfId="0" applyNumberFormat="1" applyFont="1" applyAlignment="1">
      <alignment vertical="top"/>
    </xf>
    <xf numFmtId="166" fontId="31" fillId="0" borderId="0" xfId="2" applyNumberFormat="1" applyFont="1" applyFill="1" applyBorder="1" applyAlignment="1">
      <alignment horizontal="right" vertical="center" wrapText="1"/>
    </xf>
    <xf numFmtId="2" fontId="31" fillId="6" borderId="0" xfId="0" applyNumberFormat="1" applyFont="1" applyFill="1" applyAlignment="1">
      <alignment horizontal="right" vertical="top"/>
    </xf>
    <xf numFmtId="166" fontId="31" fillId="0" borderId="0" xfId="2" applyNumberFormat="1" applyFont="1" applyFill="1" applyBorder="1" applyAlignment="1">
      <alignment horizontal="left" vertical="top" wrapText="1"/>
    </xf>
    <xf numFmtId="49" fontId="31" fillId="6" borderId="0" xfId="0" applyNumberFormat="1" applyFont="1" applyFill="1" applyAlignment="1" applyProtection="1">
      <alignment vertical="top"/>
      <protection locked="0"/>
    </xf>
    <xf numFmtId="0" fontId="31" fillId="6" borderId="0" xfId="0" applyFont="1" applyFill="1" applyAlignment="1">
      <alignment vertical="top" wrapText="1"/>
    </xf>
    <xf numFmtId="49" fontId="31" fillId="6" borderId="0" xfId="0" applyNumberFormat="1" applyFont="1" applyFill="1" applyAlignment="1">
      <alignment vertical="top" wrapText="1"/>
    </xf>
    <xf numFmtId="0" fontId="31" fillId="6" borderId="0" xfId="0" applyFont="1" applyFill="1" applyAlignment="1">
      <alignment horizontal="right" vertical="top"/>
    </xf>
    <xf numFmtId="49" fontId="14" fillId="2" borderId="3" xfId="0" applyNumberFormat="1" applyFont="1" applyFill="1" applyBorder="1" applyAlignment="1">
      <alignment vertical="top" wrapText="1"/>
    </xf>
    <xf numFmtId="49" fontId="35" fillId="3" borderId="3" xfId="0" applyNumberFormat="1" applyFont="1" applyFill="1" applyBorder="1" applyAlignment="1" applyProtection="1">
      <alignment vertical="top"/>
      <protection locked="0"/>
    </xf>
    <xf numFmtId="1" fontId="0" fillId="0" borderId="0" xfId="0" applyNumberFormat="1"/>
    <xf numFmtId="2" fontId="3" fillId="0" borderId="0" xfId="0" applyNumberFormat="1" applyFont="1"/>
    <xf numFmtId="2" fontId="3" fillId="2" borderId="0" xfId="0" applyNumberFormat="1" applyFont="1" applyFill="1"/>
    <xf numFmtId="0" fontId="4" fillId="0" borderId="0" xfId="0" applyFont="1"/>
    <xf numFmtId="0" fontId="36" fillId="0" borderId="0" xfId="0" applyFont="1"/>
    <xf numFmtId="166" fontId="16" fillId="0" borderId="9" xfId="2" applyNumberFormat="1" applyFont="1" applyFill="1" applyBorder="1" applyAlignment="1">
      <alignment horizontal="left" vertical="top" wrapText="1"/>
    </xf>
    <xf numFmtId="166" fontId="18" fillId="3" borderId="10" xfId="2" applyNumberFormat="1" applyFont="1" applyFill="1" applyBorder="1" applyAlignment="1" applyProtection="1">
      <alignment horizontal="left" vertical="top"/>
      <protection locked="0"/>
    </xf>
    <xf numFmtId="0" fontId="15" fillId="0" borderId="2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49" fontId="18" fillId="3" borderId="5" xfId="2" applyNumberFormat="1" applyFont="1" applyFill="1" applyBorder="1" applyAlignment="1" applyProtection="1">
      <alignment horizontal="left" vertical="top" wrapText="1"/>
      <protection locked="0"/>
    </xf>
    <xf numFmtId="49" fontId="18" fillId="3" borderId="5" xfId="2" applyNumberFormat="1" applyFont="1" applyFill="1" applyBorder="1" applyAlignment="1" applyProtection="1">
      <alignment horizontal="left" vertical="top"/>
      <protection locked="0"/>
    </xf>
    <xf numFmtId="0" fontId="18" fillId="0" borderId="2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2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19" fillId="0" borderId="0" xfId="0" applyFont="1" applyAlignment="1">
      <alignment vertical="center"/>
    </xf>
    <xf numFmtId="2" fontId="14" fillId="0" borderId="0" xfId="0" applyNumberFormat="1" applyFont="1" applyAlignment="1">
      <alignment vertical="center"/>
    </xf>
    <xf numFmtId="0" fontId="16" fillId="0" borderId="6" xfId="0" applyFont="1" applyBorder="1" applyAlignment="1">
      <alignment vertical="top"/>
    </xf>
    <xf numFmtId="49" fontId="33" fillId="0" borderId="0" xfId="0" applyNumberFormat="1" applyFont="1" applyAlignment="1">
      <alignment vertical="top"/>
    </xf>
    <xf numFmtId="0" fontId="4" fillId="5" borderId="0" xfId="0" applyFont="1" applyFill="1"/>
    <xf numFmtId="0" fontId="37" fillId="0" borderId="0" xfId="0" applyFont="1" applyAlignment="1">
      <alignment vertical="center" wrapText="1"/>
    </xf>
    <xf numFmtId="49" fontId="37" fillId="0" borderId="0" xfId="0" applyNumberFormat="1" applyFont="1" applyAlignment="1">
      <alignment vertical="center" wrapText="1"/>
    </xf>
    <xf numFmtId="165" fontId="0" fillId="0" borderId="0" xfId="0" applyNumberFormat="1"/>
    <xf numFmtId="168" fontId="0" fillId="0" borderId="0" xfId="0" applyNumberFormat="1"/>
    <xf numFmtId="168" fontId="2" fillId="0" borderId="0" xfId="0" applyNumberFormat="1" applyFont="1"/>
    <xf numFmtId="2" fontId="0" fillId="0" borderId="0" xfId="0" applyNumberFormat="1"/>
    <xf numFmtId="0" fontId="2" fillId="0" borderId="0" xfId="0" applyFont="1" applyAlignment="1">
      <alignment vertical="center" wrapText="1"/>
    </xf>
    <xf numFmtId="165" fontId="2" fillId="0" borderId="0" xfId="0" applyNumberFormat="1" applyFont="1"/>
    <xf numFmtId="0" fontId="37" fillId="0" borderId="0" xfId="0" applyFont="1" applyAlignment="1">
      <alignment vertical="top"/>
    </xf>
    <xf numFmtId="49" fontId="37" fillId="0" borderId="0" xfId="0" applyNumberFormat="1" applyFont="1" applyAlignment="1">
      <alignment vertical="top"/>
    </xf>
    <xf numFmtId="0" fontId="37" fillId="0" borderId="0" xfId="0" applyFont="1" applyAlignment="1">
      <alignment vertical="top" wrapText="1"/>
    </xf>
    <xf numFmtId="49" fontId="37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0" fontId="16" fillId="0" borderId="1" xfId="0" applyFont="1" applyBorder="1" applyAlignment="1">
      <alignment vertical="top"/>
    </xf>
    <xf numFmtId="49" fontId="18" fillId="0" borderId="9" xfId="0" applyNumberFormat="1" applyFont="1" applyBorder="1" applyAlignment="1">
      <alignment vertical="top"/>
    </xf>
    <xf numFmtId="49" fontId="18" fillId="0" borderId="8" xfId="0" applyNumberFormat="1" applyFont="1" applyBorder="1" applyAlignment="1">
      <alignment vertical="top"/>
    </xf>
    <xf numFmtId="0" fontId="16" fillId="0" borderId="8" xfId="0" applyFont="1" applyBorder="1" applyAlignment="1">
      <alignment vertical="top"/>
    </xf>
    <xf numFmtId="2" fontId="18" fillId="0" borderId="8" xfId="0" applyNumberFormat="1" applyFont="1" applyBorder="1" applyAlignment="1">
      <alignment horizontal="right" vertical="top"/>
    </xf>
    <xf numFmtId="4" fontId="18" fillId="0" borderId="8" xfId="0" applyNumberFormat="1" applyFont="1" applyBorder="1" applyAlignment="1">
      <alignment horizontal="right" vertical="top"/>
    </xf>
    <xf numFmtId="3" fontId="16" fillId="0" borderId="8" xfId="0" applyNumberFormat="1" applyFont="1" applyBorder="1" applyAlignment="1">
      <alignment horizontal="right" vertical="top"/>
    </xf>
    <xf numFmtId="0" fontId="16" fillId="0" borderId="1" xfId="0" applyFont="1" applyBorder="1" applyAlignment="1">
      <alignment horizontal="right" vertical="top"/>
    </xf>
    <xf numFmtId="0" fontId="18" fillId="0" borderId="1" xfId="0" applyFont="1" applyBorder="1" applyAlignment="1">
      <alignment horizontal="right" vertical="top"/>
    </xf>
    <xf numFmtId="2" fontId="18" fillId="0" borderId="1" xfId="0" applyNumberFormat="1" applyFont="1" applyBorder="1" applyAlignment="1">
      <alignment horizontal="right" vertical="top"/>
    </xf>
    <xf numFmtId="4" fontId="18" fillId="0" borderId="1" xfId="0" applyNumberFormat="1" applyFont="1" applyBorder="1" applyAlignment="1">
      <alignment horizontal="right" vertical="top"/>
    </xf>
    <xf numFmtId="3" fontId="16" fillId="0" borderId="1" xfId="0" applyNumberFormat="1" applyFont="1" applyBorder="1" applyAlignment="1">
      <alignment horizontal="right" vertical="top"/>
    </xf>
    <xf numFmtId="2" fontId="18" fillId="0" borderId="0" xfId="0" applyNumberFormat="1" applyFont="1" applyAlignment="1">
      <alignment horizontal="right" vertical="top"/>
    </xf>
    <xf numFmtId="4" fontId="16" fillId="0" borderId="0" xfId="0" applyNumberFormat="1" applyFont="1" applyAlignment="1">
      <alignment vertical="top"/>
    </xf>
    <xf numFmtId="49" fontId="18" fillId="0" borderId="9" xfId="0" applyNumberFormat="1" applyFont="1" applyBorder="1" applyAlignment="1">
      <alignment vertical="center"/>
    </xf>
    <xf numFmtId="49" fontId="18" fillId="0" borderId="8" xfId="0" applyNumberFormat="1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8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2" fontId="18" fillId="0" borderId="8" xfId="0" applyNumberFormat="1" applyFont="1" applyBorder="1" applyAlignment="1">
      <alignment horizontal="right" vertical="center"/>
    </xf>
    <xf numFmtId="4" fontId="18" fillId="0" borderId="8" xfId="0" applyNumberFormat="1" applyFont="1" applyBorder="1" applyAlignment="1">
      <alignment horizontal="right" vertical="center"/>
    </xf>
    <xf numFmtId="0" fontId="16" fillId="0" borderId="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2" fontId="18" fillId="0" borderId="1" xfId="0" applyNumberFormat="1" applyFont="1" applyBorder="1" applyAlignment="1">
      <alignment horizontal="right" vertical="center"/>
    </xf>
    <xf numFmtId="2" fontId="18" fillId="4" borderId="5" xfId="0" applyNumberFormat="1" applyFont="1" applyFill="1" applyBorder="1" applyAlignment="1">
      <alignment horizontal="right" vertical="center"/>
    </xf>
    <xf numFmtId="2" fontId="18" fillId="4" borderId="7" xfId="0" applyNumberFormat="1" applyFont="1" applyFill="1" applyBorder="1" applyAlignment="1">
      <alignment horizontal="right" vertical="center"/>
    </xf>
    <xf numFmtId="4" fontId="16" fillId="0" borderId="0" xfId="0" applyNumberFormat="1" applyFont="1" applyAlignment="1" applyProtection="1">
      <alignment horizontal="center" vertical="center" wrapText="1"/>
      <protection locked="0"/>
    </xf>
    <xf numFmtId="49" fontId="14" fillId="0" borderId="0" xfId="0" applyNumberFormat="1" applyFont="1" applyAlignment="1">
      <alignment vertical="center"/>
    </xf>
    <xf numFmtId="0" fontId="14" fillId="4" borderId="4" xfId="0" applyFont="1" applyFill="1" applyBorder="1" applyAlignment="1">
      <alignment vertical="center"/>
    </xf>
    <xf numFmtId="49" fontId="14" fillId="4" borderId="0" xfId="0" applyNumberFormat="1" applyFont="1" applyFill="1" applyAlignment="1">
      <alignment vertical="center"/>
    </xf>
    <xf numFmtId="3" fontId="38" fillId="0" borderId="0" xfId="0" applyNumberFormat="1" applyFont="1" applyAlignment="1">
      <alignment horizontal="right" vertical="center"/>
    </xf>
    <xf numFmtId="3" fontId="38" fillId="4" borderId="3" xfId="0" applyNumberFormat="1" applyFont="1" applyFill="1" applyBorder="1" applyAlignment="1">
      <alignment horizontal="right" vertical="center"/>
    </xf>
    <xf numFmtId="3" fontId="38" fillId="4" borderId="2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18" fillId="2" borderId="3" xfId="0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right" vertical="top"/>
    </xf>
    <xf numFmtId="4" fontId="18" fillId="0" borderId="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49" fontId="18" fillId="0" borderId="2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2" fontId="18" fillId="0" borderId="0" xfId="0" applyNumberFormat="1" applyFont="1" applyAlignment="1">
      <alignment horizontal="right" vertical="center"/>
    </xf>
    <xf numFmtId="0" fontId="15" fillId="3" borderId="6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vertical="center" wrapText="1"/>
    </xf>
    <xf numFmtId="3" fontId="38" fillId="4" borderId="6" xfId="0" applyNumberFormat="1" applyFont="1" applyFill="1" applyBorder="1" applyAlignment="1">
      <alignment horizontal="right" vertical="center"/>
    </xf>
    <xf numFmtId="0" fontId="14" fillId="4" borderId="6" xfId="0" applyFont="1" applyFill="1" applyBorder="1" applyAlignment="1">
      <alignment vertical="center"/>
    </xf>
    <xf numFmtId="49" fontId="14" fillId="4" borderId="1" xfId="0" applyNumberFormat="1" applyFont="1" applyFill="1" applyBorder="1" applyAlignment="1">
      <alignment vertical="center"/>
    </xf>
    <xf numFmtId="2" fontId="15" fillId="4" borderId="5" xfId="0" applyNumberFormat="1" applyFont="1" applyFill="1" applyBorder="1" applyAlignment="1">
      <alignment vertical="center"/>
    </xf>
    <xf numFmtId="49" fontId="15" fillId="3" borderId="1" xfId="0" applyNumberFormat="1" applyFont="1" applyFill="1" applyBorder="1" applyAlignment="1">
      <alignment vertical="center"/>
    </xf>
    <xf numFmtId="0" fontId="14" fillId="4" borderId="3" xfId="0" applyFont="1" applyFill="1" applyBorder="1" applyAlignment="1">
      <alignment vertical="center"/>
    </xf>
    <xf numFmtId="3" fontId="21" fillId="0" borderId="0" xfId="0" applyNumberFormat="1" applyFont="1" applyAlignment="1" applyProtection="1">
      <alignment horizontal="right"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4" fontId="21" fillId="0" borderId="0" xfId="0" applyNumberFormat="1" applyFont="1" applyAlignment="1" applyProtection="1">
      <alignment vertical="center"/>
      <protection locked="0"/>
    </xf>
    <xf numFmtId="2" fontId="21" fillId="0" borderId="0" xfId="0" applyNumberFormat="1" applyFont="1" applyAlignment="1" applyProtection="1">
      <alignment vertical="center"/>
      <protection locked="0"/>
    </xf>
    <xf numFmtId="4" fontId="14" fillId="0" borderId="0" xfId="0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18" fillId="2" borderId="4" xfId="0" applyFont="1" applyFill="1" applyBorder="1" applyAlignment="1">
      <alignment horizontal="right" vertical="center"/>
    </xf>
    <xf numFmtId="49" fontId="14" fillId="0" borderId="11" xfId="0" applyNumberFormat="1" applyFont="1" applyBorder="1" applyAlignment="1" applyProtection="1">
      <alignment vertical="center"/>
      <protection locked="0"/>
    </xf>
    <xf numFmtId="49" fontId="18" fillId="0" borderId="11" xfId="0" applyNumberFormat="1" applyFont="1" applyBorder="1" applyAlignment="1">
      <alignment vertical="center" wrapText="1"/>
    </xf>
    <xf numFmtId="2" fontId="18" fillId="0" borderId="12" xfId="0" applyNumberFormat="1" applyFont="1" applyBorder="1" applyAlignment="1">
      <alignment horizontal="right" vertical="center"/>
    </xf>
    <xf numFmtId="3" fontId="38" fillId="0" borderId="9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vertical="center"/>
    </xf>
    <xf numFmtId="49" fontId="14" fillId="0" borderId="8" xfId="0" applyNumberFormat="1" applyFont="1" applyBorder="1" applyAlignment="1">
      <alignment vertical="center"/>
    </xf>
    <xf numFmtId="0" fontId="14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49" fontId="24" fillId="0" borderId="3" xfId="0" applyNumberFormat="1" applyFont="1" applyBorder="1" applyAlignment="1" applyProtection="1">
      <alignment vertical="center"/>
      <protection locked="0"/>
    </xf>
    <xf numFmtId="0" fontId="16" fillId="0" borderId="3" xfId="0" applyFont="1" applyBorder="1" applyAlignment="1">
      <alignment vertical="center" wrapText="1"/>
    </xf>
    <xf numFmtId="49" fontId="18" fillId="0" borderId="3" xfId="0" applyNumberFormat="1" applyFont="1" applyBorder="1" applyAlignment="1">
      <alignment vertical="center" wrapText="1"/>
    </xf>
    <xf numFmtId="0" fontId="18" fillId="0" borderId="3" xfId="0" applyFont="1" applyBorder="1" applyAlignment="1">
      <alignment horizontal="right" vertical="center"/>
    </xf>
    <xf numFmtId="2" fontId="18" fillId="0" borderId="5" xfId="0" applyNumberFormat="1" applyFont="1" applyBorder="1" applyAlignment="1">
      <alignment horizontal="right" vertical="center"/>
    </xf>
    <xf numFmtId="3" fontId="38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2" fontId="15" fillId="0" borderId="5" xfId="0" applyNumberFormat="1" applyFont="1" applyBorder="1" applyAlignment="1">
      <alignment vertical="center"/>
    </xf>
    <xf numFmtId="0" fontId="14" fillId="4" borderId="2" xfId="0" applyFont="1" applyFill="1" applyBorder="1" applyAlignment="1">
      <alignment horizontal="center" vertical="center"/>
    </xf>
    <xf numFmtId="3" fontId="14" fillId="4" borderId="5" xfId="0" applyNumberFormat="1" applyFont="1" applyFill="1" applyBorder="1" applyAlignment="1">
      <alignment horizontal="center" vertical="center"/>
    </xf>
    <xf numFmtId="3" fontId="14" fillId="4" borderId="7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right" vertical="center"/>
    </xf>
    <xf numFmtId="4" fontId="16" fillId="0" borderId="5" xfId="0" applyNumberFormat="1" applyFont="1" applyBorder="1" applyAlignment="1">
      <alignment vertical="center" wrapText="1"/>
    </xf>
    <xf numFmtId="4" fontId="18" fillId="0" borderId="14" xfId="0" applyNumberFormat="1" applyFont="1" applyBorder="1" applyAlignment="1">
      <alignment horizontal="right" vertical="center"/>
    </xf>
    <xf numFmtId="3" fontId="39" fillId="0" borderId="14" xfId="0" applyNumberFormat="1" applyFont="1" applyBorder="1" applyAlignment="1">
      <alignment horizontal="right" vertical="center"/>
    </xf>
    <xf numFmtId="49" fontId="14" fillId="0" borderId="3" xfId="0" applyNumberFormat="1" applyFont="1" applyBorder="1" applyAlignment="1" applyProtection="1">
      <alignment vertical="center"/>
      <protection locked="0"/>
    </xf>
    <xf numFmtId="49" fontId="18" fillId="0" borderId="3" xfId="0" applyNumberFormat="1" applyFont="1" applyBorder="1" applyAlignment="1">
      <alignment vertical="center"/>
    </xf>
    <xf numFmtId="0" fontId="18" fillId="0" borderId="2" xfId="0" applyFont="1" applyBorder="1" applyAlignment="1">
      <alignment horizontal="right" vertical="center"/>
    </xf>
    <xf numFmtId="4" fontId="16" fillId="0" borderId="0" xfId="0" applyNumberFormat="1" applyFont="1" applyAlignment="1">
      <alignment vertical="center" wrapText="1"/>
    </xf>
    <xf numFmtId="4" fontId="16" fillId="0" borderId="1" xfId="0" applyNumberFormat="1" applyFont="1" applyBorder="1" applyAlignment="1">
      <alignment vertical="center"/>
    </xf>
    <xf numFmtId="4" fontId="16" fillId="0" borderId="21" xfId="0" applyNumberFormat="1" applyFont="1" applyBorder="1" applyAlignment="1" applyProtection="1">
      <alignment vertical="center" wrapText="1"/>
      <protection locked="0"/>
    </xf>
    <xf numFmtId="3" fontId="16" fillId="0" borderId="13" xfId="0" applyNumberFormat="1" applyFont="1" applyBorder="1" applyAlignment="1">
      <alignment vertical="center" wrapText="1"/>
    </xf>
    <xf numFmtId="4" fontId="16" fillId="0" borderId="13" xfId="0" applyNumberFormat="1" applyFont="1" applyBorder="1" applyAlignment="1">
      <alignment vertical="center" wrapText="1"/>
    </xf>
    <xf numFmtId="4" fontId="18" fillId="4" borderId="6" xfId="0" applyNumberFormat="1" applyFont="1" applyFill="1" applyBorder="1" applyAlignment="1">
      <alignment horizontal="right" vertical="center"/>
    </xf>
    <xf numFmtId="3" fontId="38" fillId="4" borderId="4" xfId="0" applyNumberFormat="1" applyFont="1" applyFill="1" applyBorder="1" applyAlignment="1">
      <alignment horizontal="right" vertical="center"/>
    </xf>
    <xf numFmtId="2" fontId="15" fillId="0" borderId="3" xfId="0" applyNumberFormat="1" applyFont="1" applyBorder="1" applyAlignment="1">
      <alignment vertical="center"/>
    </xf>
    <xf numFmtId="2" fontId="15" fillId="4" borderId="3" xfId="0" applyNumberFormat="1" applyFont="1" applyFill="1" applyBorder="1" applyAlignment="1">
      <alignment vertical="center"/>
    </xf>
    <xf numFmtId="1" fontId="18" fillId="5" borderId="0" xfId="0" applyNumberFormat="1" applyFont="1" applyFill="1" applyAlignment="1">
      <alignment vertical="center" wrapText="1"/>
    </xf>
    <xf numFmtId="1" fontId="18" fillId="0" borderId="0" xfId="0" applyNumberFormat="1" applyFont="1" applyAlignment="1">
      <alignment vertical="center" wrapText="1"/>
    </xf>
    <xf numFmtId="1" fontId="14" fillId="0" borderId="0" xfId="0" applyNumberFormat="1" applyFont="1" applyAlignment="1">
      <alignment vertical="center" wrapText="1"/>
    </xf>
    <xf numFmtId="1" fontId="21" fillId="3" borderId="0" xfId="0" applyNumberFormat="1" applyFont="1" applyFill="1" applyAlignment="1" applyProtection="1">
      <alignment vertical="center"/>
      <protection locked="0"/>
    </xf>
    <xf numFmtId="2" fontId="18" fillId="2" borderId="7" xfId="0" applyNumberFormat="1" applyFont="1" applyFill="1" applyBorder="1" applyAlignment="1">
      <alignment horizontal="right" vertical="center"/>
    </xf>
    <xf numFmtId="1" fontId="16" fillId="0" borderId="8" xfId="0" applyNumberFormat="1" applyFont="1" applyBorder="1" applyAlignment="1">
      <alignment vertical="center" wrapText="1"/>
    </xf>
    <xf numFmtId="49" fontId="14" fillId="0" borderId="11" xfId="0" applyNumberFormat="1" applyFont="1" applyBorder="1" applyAlignment="1" applyProtection="1">
      <alignment vertical="top"/>
      <protection locked="0"/>
    </xf>
    <xf numFmtId="0" fontId="16" fillId="0" borderId="11" xfId="0" applyFont="1" applyBorder="1" applyAlignment="1">
      <alignment vertical="top" wrapText="1"/>
    </xf>
    <xf numFmtId="49" fontId="18" fillId="0" borderId="11" xfId="0" applyNumberFormat="1" applyFont="1" applyBorder="1" applyAlignment="1">
      <alignment vertical="top" wrapText="1"/>
    </xf>
    <xf numFmtId="0" fontId="18" fillId="0" borderId="14" xfId="0" applyFont="1" applyBorder="1" applyAlignment="1">
      <alignment horizontal="right" vertical="top"/>
    </xf>
    <xf numFmtId="4" fontId="18" fillId="0" borderId="11" xfId="0" applyNumberFormat="1" applyFont="1" applyBorder="1" applyAlignment="1">
      <alignment vertical="top"/>
    </xf>
    <xf numFmtId="2" fontId="18" fillId="0" borderId="12" xfId="0" applyNumberFormat="1" applyFont="1" applyBorder="1" applyAlignment="1">
      <alignment horizontal="right" vertical="top"/>
    </xf>
    <xf numFmtId="4" fontId="18" fillId="0" borderId="14" xfId="0" applyNumberFormat="1" applyFont="1" applyBorder="1" applyAlignment="1">
      <alignment horizontal="right" vertical="top"/>
    </xf>
    <xf numFmtId="3" fontId="16" fillId="0" borderId="12" xfId="0" applyNumberFormat="1" applyFont="1" applyBorder="1" applyAlignment="1">
      <alignment horizontal="right" vertical="top"/>
    </xf>
    <xf numFmtId="3" fontId="14" fillId="0" borderId="5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top"/>
    </xf>
    <xf numFmtId="0" fontId="16" fillId="0" borderId="3" xfId="0" applyFont="1" applyBorder="1" applyAlignment="1">
      <alignment vertical="top"/>
    </xf>
    <xf numFmtId="4" fontId="16" fillId="0" borderId="5" xfId="0" applyNumberFormat="1" applyFont="1" applyBorder="1" applyAlignment="1">
      <alignment vertical="top" wrapText="1"/>
    </xf>
    <xf numFmtId="4" fontId="18" fillId="0" borderId="2" xfId="0" applyNumberFormat="1" applyFont="1" applyBorder="1" applyAlignment="1">
      <alignment horizontal="right" vertical="top"/>
    </xf>
    <xf numFmtId="3" fontId="16" fillId="0" borderId="5" xfId="0" applyNumberFormat="1" applyFont="1" applyBorder="1" applyAlignment="1">
      <alignment horizontal="right" vertical="top"/>
    </xf>
    <xf numFmtId="49" fontId="14" fillId="0" borderId="3" xfId="0" applyNumberFormat="1" applyFont="1" applyBorder="1" applyAlignment="1" applyProtection="1">
      <alignment vertical="top"/>
      <protection locked="0"/>
    </xf>
    <xf numFmtId="4" fontId="16" fillId="0" borderId="8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0" fontId="14" fillId="7" borderId="3" xfId="0" applyFont="1" applyFill="1" applyBorder="1" applyAlignment="1">
      <alignment vertical="top" wrapText="1"/>
    </xf>
    <xf numFmtId="0" fontId="18" fillId="7" borderId="3" xfId="0" applyFont="1" applyFill="1" applyBorder="1" applyAlignment="1">
      <alignment vertical="top" wrapText="1"/>
    </xf>
    <xf numFmtId="0" fontId="18" fillId="8" borderId="3" xfId="0" applyFont="1" applyFill="1" applyBorder="1" applyAlignment="1">
      <alignment vertical="top" wrapText="1"/>
    </xf>
    <xf numFmtId="0" fontId="14" fillId="8" borderId="3" xfId="0" applyFont="1" applyFill="1" applyBorder="1" applyAlignment="1">
      <alignment vertical="top" wrapText="1"/>
    </xf>
    <xf numFmtId="0" fontId="14" fillId="9" borderId="3" xfId="0" applyFont="1" applyFill="1" applyBorder="1" applyAlignment="1">
      <alignment vertical="top" wrapText="1"/>
    </xf>
    <xf numFmtId="0" fontId="18" fillId="9" borderId="3" xfId="0" applyFont="1" applyFill="1" applyBorder="1" applyAlignment="1">
      <alignment vertical="top" wrapText="1"/>
    </xf>
    <xf numFmtId="49" fontId="14" fillId="0" borderId="0" xfId="0" applyNumberFormat="1" applyFont="1" applyAlignment="1" applyProtection="1">
      <alignment vertical="top"/>
      <protection locked="0"/>
    </xf>
    <xf numFmtId="0" fontId="18" fillId="0" borderId="0" xfId="0" applyFont="1" applyAlignment="1">
      <alignment vertical="top" wrapText="1"/>
    </xf>
    <xf numFmtId="4" fontId="16" fillId="0" borderId="0" xfId="0" applyNumberFormat="1" applyFont="1" applyAlignment="1">
      <alignment vertical="top" wrapText="1"/>
    </xf>
    <xf numFmtId="49" fontId="14" fillId="0" borderId="0" xfId="0" applyNumberFormat="1" applyFont="1" applyAlignment="1" applyProtection="1">
      <alignment horizontal="left" vertical="top"/>
      <protection locked="0"/>
    </xf>
    <xf numFmtId="0" fontId="18" fillId="10" borderId="3" xfId="0" applyFont="1" applyFill="1" applyBorder="1" applyAlignment="1">
      <alignment vertical="top" wrapText="1"/>
    </xf>
    <xf numFmtId="168" fontId="18" fillId="2" borderId="5" xfId="0" applyNumberFormat="1" applyFont="1" applyFill="1" applyBorder="1" applyAlignment="1">
      <alignment horizontal="right" vertical="center"/>
    </xf>
    <xf numFmtId="3" fontId="14" fillId="4" borderId="3" xfId="0" applyNumberFormat="1" applyFont="1" applyFill="1" applyBorder="1" applyAlignment="1">
      <alignment vertical="center"/>
    </xf>
    <xf numFmtId="3" fontId="21" fillId="0" borderId="0" xfId="0" applyNumberFormat="1" applyFont="1" applyAlignment="1" applyProtection="1">
      <alignment horizontal="right" vertical="top"/>
      <protection locked="0"/>
    </xf>
    <xf numFmtId="49" fontId="16" fillId="0" borderId="0" xfId="0" applyNumberFormat="1" applyFont="1" applyAlignment="1">
      <alignment horizontal="center" vertical="center" wrapText="1"/>
    </xf>
    <xf numFmtId="49" fontId="3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18" fillId="2" borderId="0" xfId="0" applyNumberFormat="1" applyFont="1" applyFill="1" applyAlignment="1">
      <alignment vertical="top" wrapText="1"/>
    </xf>
    <xf numFmtId="1" fontId="18" fillId="0" borderId="0" xfId="0" applyNumberFormat="1" applyFont="1" applyAlignment="1">
      <alignment vertical="top" wrapText="1"/>
    </xf>
    <xf numFmtId="1" fontId="16" fillId="0" borderId="0" xfId="0" applyNumberFormat="1" applyFont="1" applyAlignment="1">
      <alignment horizontal="center" vertical="center" wrapText="1"/>
    </xf>
    <xf numFmtId="1" fontId="16" fillId="6" borderId="0" xfId="0" applyNumberFormat="1" applyFont="1" applyFill="1" applyAlignment="1">
      <alignment vertical="top"/>
    </xf>
    <xf numFmtId="1" fontId="21" fillId="3" borderId="0" xfId="0" applyNumberFormat="1" applyFont="1" applyFill="1" applyAlignment="1" applyProtection="1">
      <alignment vertical="top"/>
      <protection locked="0"/>
    </xf>
    <xf numFmtId="1" fontId="16" fillId="6" borderId="0" xfId="0" applyNumberFormat="1" applyFont="1" applyFill="1" applyAlignment="1">
      <alignment vertical="top" wrapText="1"/>
    </xf>
    <xf numFmtId="1" fontId="40" fillId="6" borderId="0" xfId="0" applyNumberFormat="1" applyFont="1" applyFill="1" applyAlignment="1">
      <alignment vertical="top" wrapText="1"/>
    </xf>
    <xf numFmtId="1" fontId="14" fillId="6" borderId="0" xfId="0" applyNumberFormat="1" applyFont="1" applyFill="1" applyAlignment="1">
      <alignment vertical="top" wrapText="1"/>
    </xf>
    <xf numFmtId="1" fontId="18" fillId="6" borderId="0" xfId="0" applyNumberFormat="1" applyFont="1" applyFill="1" applyAlignment="1">
      <alignment vertical="top" wrapText="1"/>
    </xf>
    <xf numFmtId="1" fontId="14" fillId="4" borderId="2" xfId="0" applyNumberFormat="1" applyFont="1" applyFill="1" applyBorder="1" applyAlignment="1">
      <alignment horizontal="center" vertical="center"/>
    </xf>
    <xf numFmtId="1" fontId="14" fillId="4" borderId="0" xfId="0" applyNumberFormat="1" applyFont="1" applyFill="1" applyAlignment="1">
      <alignment vertical="center"/>
    </xf>
    <xf numFmtId="1" fontId="14" fillId="4" borderId="5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vertical="center"/>
    </xf>
    <xf numFmtId="0" fontId="34" fillId="0" borderId="0" xfId="0" applyFont="1" applyAlignment="1">
      <alignment vertical="top"/>
    </xf>
    <xf numFmtId="0" fontId="32" fillId="0" borderId="0" xfId="0" applyFont="1" applyAlignment="1">
      <alignment vertical="top"/>
    </xf>
    <xf numFmtId="49" fontId="18" fillId="0" borderId="3" xfId="0" applyNumberFormat="1" applyFont="1" applyBorder="1" applyAlignment="1">
      <alignment vertical="top" wrapText="1"/>
    </xf>
    <xf numFmtId="0" fontId="18" fillId="0" borderId="2" xfId="0" applyFont="1" applyBorder="1" applyAlignment="1">
      <alignment horizontal="right" vertical="top"/>
    </xf>
    <xf numFmtId="2" fontId="18" fillId="0" borderId="5" xfId="0" applyNumberFormat="1" applyFont="1" applyBorder="1" applyAlignment="1">
      <alignment horizontal="right" vertical="top"/>
    </xf>
    <xf numFmtId="3" fontId="14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left" vertical="center"/>
    </xf>
    <xf numFmtId="3" fontId="14" fillId="4" borderId="2" xfId="0" applyNumberFormat="1" applyFont="1" applyFill="1" applyBorder="1" applyAlignment="1">
      <alignment vertical="center"/>
    </xf>
    <xf numFmtId="0" fontId="41" fillId="2" borderId="3" xfId="0" applyFont="1" applyFill="1" applyBorder="1" applyAlignment="1">
      <alignment vertical="top" wrapText="1"/>
    </xf>
    <xf numFmtId="49" fontId="32" fillId="6" borderId="8" xfId="0" applyNumberFormat="1" applyFont="1" applyFill="1" applyBorder="1" applyAlignment="1" applyProtection="1">
      <alignment vertical="top"/>
      <protection locked="0"/>
    </xf>
    <xf numFmtId="166" fontId="16" fillId="0" borderId="2" xfId="2" applyNumberFormat="1" applyFont="1" applyFill="1" applyBorder="1" applyAlignment="1">
      <alignment horizontal="left" vertical="top" wrapText="1"/>
    </xf>
    <xf numFmtId="166" fontId="18" fillId="0" borderId="5" xfId="2" applyNumberFormat="1" applyFont="1" applyFill="1" applyBorder="1" applyAlignment="1" applyProtection="1">
      <alignment horizontal="left" vertical="top"/>
      <protection locked="0"/>
    </xf>
    <xf numFmtId="0" fontId="14" fillId="0" borderId="5" xfId="0" applyFont="1" applyBorder="1" applyAlignment="1">
      <alignment horizontal="right" vertical="center"/>
    </xf>
    <xf numFmtId="0" fontId="15" fillId="0" borderId="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49" fontId="14" fillId="0" borderId="5" xfId="0" applyNumberFormat="1" applyFont="1" applyBorder="1" applyAlignment="1" applyProtection="1">
      <alignment vertical="top"/>
      <protection locked="0"/>
    </xf>
    <xf numFmtId="49" fontId="18" fillId="0" borderId="5" xfId="0" applyNumberFormat="1" applyFont="1" applyBorder="1" applyAlignment="1">
      <alignment vertical="top" wrapText="1"/>
    </xf>
    <xf numFmtId="0" fontId="18" fillId="0" borderId="5" xfId="0" applyFont="1" applyBorder="1" applyAlignment="1">
      <alignment horizontal="right" vertical="top"/>
    </xf>
    <xf numFmtId="4" fontId="16" fillId="0" borderId="3" xfId="0" applyNumberFormat="1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0" fillId="0" borderId="0" xfId="0" applyAlignment="1">
      <alignment horizontal="right"/>
    </xf>
    <xf numFmtId="4" fontId="18" fillId="5" borderId="0" xfId="0" applyNumberFormat="1" applyFont="1" applyFill="1" applyAlignment="1">
      <alignment horizontal="center" vertical="top" wrapText="1"/>
    </xf>
    <xf numFmtId="4" fontId="18" fillId="0" borderId="1" xfId="0" applyNumberFormat="1" applyFont="1" applyBorder="1" applyAlignment="1">
      <alignment horizontal="center" vertical="top" wrapText="1"/>
    </xf>
    <xf numFmtId="49" fontId="16" fillId="2" borderId="0" xfId="0" applyNumberFormat="1" applyFont="1" applyFill="1" applyAlignment="1">
      <alignment horizontal="right" vertical="top"/>
    </xf>
    <xf numFmtId="49" fontId="16" fillId="0" borderId="0" xfId="0" applyNumberFormat="1" applyFont="1" applyAlignment="1">
      <alignment horizontal="right" vertical="top"/>
    </xf>
    <xf numFmtId="49" fontId="16" fillId="6" borderId="0" xfId="0" applyNumberFormat="1" applyFont="1" applyFill="1" applyAlignment="1">
      <alignment horizontal="right" vertical="top"/>
    </xf>
    <xf numFmtId="1" fontId="14" fillId="0" borderId="0" xfId="0" applyNumberFormat="1" applyFont="1" applyAlignment="1">
      <alignment vertical="top"/>
    </xf>
    <xf numFmtId="1" fontId="15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4" fillId="4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5" fillId="4" borderId="4" xfId="0" applyNumberFormat="1" applyFont="1" applyFill="1" applyBorder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49" fontId="42" fillId="3" borderId="3" xfId="0" applyNumberFormat="1" applyFont="1" applyFill="1" applyBorder="1" applyAlignment="1" applyProtection="1">
      <alignment vertical="center"/>
      <protection locked="0"/>
    </xf>
    <xf numFmtId="49" fontId="42" fillId="0" borderId="3" xfId="0" applyNumberFormat="1" applyFont="1" applyBorder="1" applyAlignment="1" applyProtection="1">
      <alignment vertical="center"/>
      <protection locked="0"/>
    </xf>
    <xf numFmtId="49" fontId="17" fillId="3" borderId="3" xfId="0" applyNumberFormat="1" applyFont="1" applyFill="1" applyBorder="1" applyAlignment="1" applyProtection="1">
      <alignment vertical="center"/>
      <protection locked="0"/>
    </xf>
    <xf numFmtId="49" fontId="17" fillId="0" borderId="3" xfId="0" applyNumberFormat="1" applyFont="1" applyBorder="1" applyAlignment="1" applyProtection="1">
      <alignment vertical="center"/>
      <protection locked="0"/>
    </xf>
    <xf numFmtId="49" fontId="17" fillId="3" borderId="4" xfId="0" applyNumberFormat="1" applyFont="1" applyFill="1" applyBorder="1" applyAlignment="1" applyProtection="1">
      <alignment vertical="center"/>
      <protection locked="0"/>
    </xf>
    <xf numFmtId="4" fontId="18" fillId="4" borderId="0" xfId="0" applyNumberFormat="1" applyFont="1" applyFill="1" applyAlignment="1">
      <alignment horizontal="right" vertical="center"/>
    </xf>
    <xf numFmtId="3" fontId="38" fillId="4" borderId="0" xfId="0" applyNumberFormat="1" applyFont="1" applyFill="1" applyAlignment="1">
      <alignment horizontal="right" vertical="center"/>
    </xf>
    <xf numFmtId="49" fontId="17" fillId="0" borderId="0" xfId="0" applyNumberFormat="1" applyFont="1" applyAlignment="1" applyProtection="1">
      <alignment vertical="center"/>
      <protection locked="0"/>
    </xf>
    <xf numFmtId="3" fontId="16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/>
    </xf>
    <xf numFmtId="0" fontId="15" fillId="4" borderId="6" xfId="0" applyFont="1" applyFill="1" applyBorder="1" applyAlignment="1">
      <alignment vertical="center" wrapText="1"/>
    </xf>
    <xf numFmtId="49" fontId="15" fillId="4" borderId="1" xfId="0" applyNumberFormat="1" applyFont="1" applyFill="1" applyBorder="1" applyAlignment="1">
      <alignment vertical="center" wrapText="1"/>
    </xf>
    <xf numFmtId="49" fontId="15" fillId="4" borderId="7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vertical="center" wrapText="1"/>
    </xf>
    <xf numFmtId="3" fontId="38" fillId="0" borderId="8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5" fillId="0" borderId="8" xfId="0" applyFont="1" applyBorder="1" applyAlignment="1">
      <alignment vertical="center"/>
    </xf>
    <xf numFmtId="0" fontId="14" fillId="6" borderId="0" xfId="0" applyFont="1" applyFill="1" applyAlignment="1">
      <alignment vertical="center"/>
    </xf>
    <xf numFmtId="169" fontId="14" fillId="3" borderId="3" xfId="0" applyNumberFormat="1" applyFont="1" applyFill="1" applyBorder="1" applyAlignment="1" applyProtection="1">
      <alignment vertical="center"/>
      <protection locked="0"/>
    </xf>
    <xf numFmtId="169" fontId="18" fillId="2" borderId="3" xfId="0" applyNumberFormat="1" applyFont="1" applyFill="1" applyBorder="1" applyAlignment="1">
      <alignment vertical="center" wrapText="1"/>
    </xf>
    <xf numFmtId="169" fontId="18" fillId="2" borderId="3" xfId="0" applyNumberFormat="1" applyFont="1" applyFill="1" applyBorder="1" applyAlignment="1">
      <alignment vertical="center"/>
    </xf>
    <xf numFmtId="169" fontId="14" fillId="0" borderId="3" xfId="0" applyNumberFormat="1" applyFont="1" applyBorder="1" applyAlignment="1" applyProtection="1">
      <alignment vertical="center"/>
      <protection locked="0"/>
    </xf>
    <xf numFmtId="169" fontId="16" fillId="0" borderId="3" xfId="0" applyNumberFormat="1" applyFont="1" applyBorder="1" applyAlignment="1">
      <alignment vertical="center" wrapText="1"/>
    </xf>
    <xf numFmtId="169" fontId="18" fillId="0" borderId="3" xfId="0" applyNumberFormat="1" applyFont="1" applyBorder="1" applyAlignment="1">
      <alignment vertical="center" wrapText="1"/>
    </xf>
    <xf numFmtId="169" fontId="16" fillId="0" borderId="2" xfId="0" applyNumberFormat="1" applyFont="1" applyBorder="1" applyAlignment="1">
      <alignment vertical="center" wrapText="1"/>
    </xf>
    <xf numFmtId="169" fontId="18" fillId="0" borderId="3" xfId="0" applyNumberFormat="1" applyFont="1" applyBorder="1" applyAlignment="1">
      <alignment horizontal="right" vertical="center"/>
    </xf>
    <xf numFmtId="169" fontId="18" fillId="2" borderId="2" xfId="0" applyNumberFormat="1" applyFont="1" applyFill="1" applyBorder="1" applyAlignment="1">
      <alignment vertical="center" wrapText="1"/>
    </xf>
    <xf numFmtId="169" fontId="18" fillId="2" borderId="0" xfId="0" applyNumberFormat="1" applyFont="1" applyFill="1" applyAlignment="1">
      <alignment horizontal="right" vertical="center"/>
    </xf>
    <xf numFmtId="169" fontId="18" fillId="2" borderId="3" xfId="0" applyNumberFormat="1" applyFont="1" applyFill="1" applyBorder="1" applyAlignment="1">
      <alignment horizontal="left" vertical="center"/>
    </xf>
    <xf numFmtId="169" fontId="16" fillId="0" borderId="3" xfId="0" applyNumberFormat="1" applyFont="1" applyBorder="1" applyAlignment="1">
      <alignment vertical="top"/>
    </xf>
    <xf numFmtId="169" fontId="14" fillId="2" borderId="3" xfId="0" applyNumberFormat="1" applyFont="1" applyFill="1" applyBorder="1" applyAlignment="1">
      <alignment vertical="center" wrapText="1"/>
    </xf>
    <xf numFmtId="169" fontId="14" fillId="2" borderId="0" xfId="0" applyNumberFormat="1" applyFont="1" applyFill="1" applyAlignment="1">
      <alignment horizontal="right" vertical="top"/>
    </xf>
    <xf numFmtId="169" fontId="14" fillId="2" borderId="3" xfId="0" applyNumberFormat="1" applyFont="1" applyFill="1" applyBorder="1" applyAlignment="1">
      <alignment vertical="top" wrapText="1"/>
    </xf>
    <xf numFmtId="169" fontId="18" fillId="2" borderId="5" xfId="0" applyNumberFormat="1" applyFont="1" applyFill="1" applyBorder="1" applyAlignment="1">
      <alignment vertical="top" wrapText="1"/>
    </xf>
    <xf numFmtId="169" fontId="14" fillId="0" borderId="2" xfId="0" applyNumberFormat="1" applyFont="1" applyBorder="1" applyAlignment="1" applyProtection="1">
      <alignment vertical="center"/>
      <protection locked="0"/>
    </xf>
    <xf numFmtId="169" fontId="14" fillId="3" borderId="2" xfId="0" applyNumberFormat="1" applyFont="1" applyFill="1" applyBorder="1" applyAlignment="1" applyProtection="1">
      <alignment vertical="center"/>
      <protection locked="0"/>
    </xf>
    <xf numFmtId="4" fontId="14" fillId="0" borderId="0" xfId="0" applyNumberFormat="1" applyFont="1" applyAlignment="1">
      <alignment horizontal="right" vertical="center" wrapText="1"/>
    </xf>
    <xf numFmtId="4" fontId="21" fillId="3" borderId="0" xfId="0" applyNumberFormat="1" applyFont="1" applyFill="1" applyAlignment="1" applyProtection="1">
      <alignment horizontal="right" vertical="center"/>
      <protection locked="0"/>
    </xf>
    <xf numFmtId="4" fontId="18" fillId="4" borderId="3" xfId="0" applyNumberFormat="1" applyFont="1" applyFill="1" applyBorder="1" applyAlignment="1">
      <alignment horizontal="right" vertical="center"/>
    </xf>
    <xf numFmtId="169" fontId="18" fillId="0" borderId="0" xfId="0" applyNumberFormat="1" applyFont="1" applyAlignment="1">
      <alignment horizontal="right" vertical="center"/>
    </xf>
    <xf numFmtId="4" fontId="18" fillId="4" borderId="5" xfId="0" applyNumberFormat="1" applyFont="1" applyFill="1" applyBorder="1" applyAlignment="1">
      <alignment horizontal="right" vertical="center"/>
    </xf>
    <xf numFmtId="4" fontId="18" fillId="0" borderId="5" xfId="0" applyNumberFormat="1" applyFont="1" applyBorder="1" applyAlignment="1">
      <alignment horizontal="right" vertical="center"/>
    </xf>
    <xf numFmtId="169" fontId="18" fillId="2" borderId="3" xfId="0" applyNumberFormat="1" applyFont="1" applyFill="1" applyBorder="1" applyAlignment="1">
      <alignment horizontal="right" vertical="center"/>
    </xf>
    <xf numFmtId="169" fontId="14" fillId="2" borderId="3" xfId="0" applyNumberFormat="1" applyFont="1" applyFill="1" applyBorder="1" applyAlignment="1">
      <alignment horizontal="right" vertical="top"/>
    </xf>
    <xf numFmtId="2" fontId="18" fillId="2" borderId="3" xfId="0" applyNumberFormat="1" applyFont="1" applyFill="1" applyBorder="1" applyAlignment="1">
      <alignment horizontal="right" vertical="center"/>
    </xf>
    <xf numFmtId="2" fontId="18" fillId="2" borderId="3" xfId="0" applyNumberFormat="1" applyFont="1" applyFill="1" applyBorder="1" applyAlignment="1">
      <alignment horizontal="right" vertical="top"/>
    </xf>
    <xf numFmtId="2" fontId="18" fillId="0" borderId="3" xfId="0" applyNumberFormat="1" applyFont="1" applyBorder="1" applyAlignment="1">
      <alignment horizontal="right" vertical="center"/>
    </xf>
    <xf numFmtId="4" fontId="16" fillId="0" borderId="22" xfId="0" applyNumberFormat="1" applyFont="1" applyBorder="1" applyAlignment="1" applyProtection="1">
      <alignment vertical="center" wrapText="1"/>
      <protection locked="0"/>
    </xf>
    <xf numFmtId="169" fontId="14" fillId="3" borderId="6" xfId="0" applyNumberFormat="1" applyFont="1" applyFill="1" applyBorder="1" applyAlignment="1" applyProtection="1">
      <alignment vertical="center"/>
      <protection locked="0"/>
    </xf>
    <xf numFmtId="169" fontId="14" fillId="2" borderId="6" xfId="0" applyNumberFormat="1" applyFont="1" applyFill="1" applyBorder="1" applyAlignment="1">
      <alignment vertical="center" wrapText="1"/>
    </xf>
    <xf numFmtId="169" fontId="18" fillId="2" borderId="4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2" fontId="15" fillId="4" borderId="7" xfId="0" applyNumberFormat="1" applyFont="1" applyFill="1" applyBorder="1" applyAlignment="1">
      <alignment vertical="center"/>
    </xf>
    <xf numFmtId="49" fontId="14" fillId="0" borderId="13" xfId="0" applyNumberFormat="1" applyFont="1" applyBorder="1" applyAlignment="1" applyProtection="1">
      <alignment vertical="center"/>
      <protection locked="0"/>
    </xf>
    <xf numFmtId="0" fontId="16" fillId="0" borderId="13" xfId="0" applyFont="1" applyBorder="1" applyAlignment="1">
      <alignment vertical="center" wrapText="1"/>
    </xf>
    <xf numFmtId="49" fontId="18" fillId="0" borderId="13" xfId="0" applyNumberFormat="1" applyFont="1" applyBorder="1" applyAlignment="1">
      <alignment vertical="center" wrapText="1"/>
    </xf>
    <xf numFmtId="0" fontId="18" fillId="0" borderId="13" xfId="0" applyFont="1" applyBorder="1" applyAlignment="1">
      <alignment horizontal="right" vertical="center"/>
    </xf>
    <xf numFmtId="4" fontId="18" fillId="0" borderId="13" xfId="0" applyNumberFormat="1" applyFont="1" applyBorder="1" applyAlignment="1">
      <alignment vertical="center"/>
    </xf>
    <xf numFmtId="2" fontId="18" fillId="0" borderId="13" xfId="0" applyNumberFormat="1" applyFont="1" applyBorder="1" applyAlignment="1">
      <alignment horizontal="right" vertical="center"/>
    </xf>
    <xf numFmtId="4" fontId="18" fillId="0" borderId="13" xfId="0" applyNumberFormat="1" applyFont="1" applyBorder="1" applyAlignment="1">
      <alignment horizontal="right" vertical="center"/>
    </xf>
    <xf numFmtId="3" fontId="38" fillId="0" borderId="13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2" fontId="15" fillId="0" borderId="13" xfId="0" applyNumberFormat="1" applyFont="1" applyBorder="1" applyAlignment="1">
      <alignment vertical="center"/>
    </xf>
    <xf numFmtId="2" fontId="18" fillId="2" borderId="3" xfId="0" applyNumberFormat="1" applyFont="1" applyFill="1" applyBorder="1" applyAlignment="1">
      <alignment vertical="center"/>
    </xf>
    <xf numFmtId="2" fontId="14" fillId="2" borderId="3" xfId="0" applyNumberFormat="1" applyFont="1" applyFill="1" applyBorder="1" applyAlignment="1">
      <alignment horizontal="right" vertical="center"/>
    </xf>
    <xf numFmtId="2" fontId="18" fillId="2" borderId="4" xfId="0" applyNumberFormat="1" applyFont="1" applyFill="1" applyBorder="1" applyAlignment="1">
      <alignment horizontal="right" vertical="center"/>
    </xf>
    <xf numFmtId="2" fontId="14" fillId="2" borderId="0" xfId="0" applyNumberFormat="1" applyFont="1" applyFill="1"/>
    <xf numFmtId="0" fontId="18" fillId="2" borderId="3" xfId="0" applyFont="1" applyFill="1" applyBorder="1" applyAlignment="1">
      <alignment horizontal="right" vertical="top"/>
    </xf>
    <xf numFmtId="2" fontId="14" fillId="2" borderId="3" xfId="0" applyNumberFormat="1" applyFont="1" applyFill="1" applyBorder="1" applyAlignment="1">
      <alignment vertical="top"/>
    </xf>
    <xf numFmtId="1" fontId="16" fillId="0" borderId="13" xfId="0" applyNumberFormat="1" applyFont="1" applyBorder="1" applyAlignment="1">
      <alignment vertical="center" wrapText="1"/>
    </xf>
    <xf numFmtId="2" fontId="18" fillId="0" borderId="10" xfId="0" applyNumberFormat="1" applyFont="1" applyBorder="1" applyAlignment="1">
      <alignment horizontal="right" vertical="center"/>
    </xf>
    <xf numFmtId="4" fontId="18" fillId="0" borderId="9" xfId="0" applyNumberFormat="1" applyFont="1" applyBorder="1" applyAlignment="1">
      <alignment horizontal="right" vertical="center"/>
    </xf>
    <xf numFmtId="49" fontId="14" fillId="3" borderId="4" xfId="0" applyNumberFormat="1" applyFont="1" applyFill="1" applyBorder="1" applyAlignment="1" applyProtection="1">
      <alignment vertical="top"/>
      <protection locked="0"/>
    </xf>
    <xf numFmtId="49" fontId="14" fillId="3" borderId="7" xfId="0" applyNumberFormat="1" applyFont="1" applyFill="1" applyBorder="1" applyAlignment="1" applyProtection="1">
      <alignment vertical="top"/>
      <protection locked="0"/>
    </xf>
    <xf numFmtId="0" fontId="14" fillId="2" borderId="4" xfId="0" applyFont="1" applyFill="1" applyBorder="1" applyAlignment="1">
      <alignment vertical="top" wrapText="1"/>
    </xf>
    <xf numFmtId="0" fontId="18" fillId="2" borderId="7" xfId="0" applyFont="1" applyFill="1" applyBorder="1" applyAlignment="1">
      <alignment horizontal="right" vertical="top"/>
    </xf>
    <xf numFmtId="0" fontId="15" fillId="0" borderId="0" xfId="0" applyFont="1" applyAlignment="1">
      <alignment vertical="top"/>
    </xf>
    <xf numFmtId="49" fontId="17" fillId="0" borderId="11" xfId="0" applyNumberFormat="1" applyFont="1" applyBorder="1" applyAlignment="1" applyProtection="1">
      <alignment vertical="top"/>
      <protection locked="0"/>
    </xf>
    <xf numFmtId="49" fontId="17" fillId="3" borderId="3" xfId="0" applyNumberFormat="1" applyFont="1" applyFill="1" applyBorder="1" applyAlignment="1" applyProtection="1">
      <alignment vertical="top"/>
      <protection locked="0"/>
    </xf>
    <xf numFmtId="49" fontId="17" fillId="0" borderId="3" xfId="0" applyNumberFormat="1" applyFont="1" applyBorder="1" applyAlignment="1" applyProtection="1">
      <alignment vertical="top"/>
      <protection locked="0"/>
    </xf>
    <xf numFmtId="49" fontId="17" fillId="3" borderId="5" xfId="0" applyNumberFormat="1" applyFont="1" applyFill="1" applyBorder="1" applyAlignment="1" applyProtection="1">
      <alignment vertical="top"/>
      <protection locked="0"/>
    </xf>
    <xf numFmtId="49" fontId="17" fillId="0" borderId="13" xfId="0" applyNumberFormat="1" applyFont="1" applyBorder="1" applyAlignment="1" applyProtection="1">
      <alignment vertical="center"/>
      <protection locked="0"/>
    </xf>
    <xf numFmtId="49" fontId="17" fillId="0" borderId="5" xfId="0" applyNumberFormat="1" applyFont="1" applyBorder="1" applyAlignment="1" applyProtection="1">
      <alignment vertical="top"/>
      <protection locked="0"/>
    </xf>
    <xf numFmtId="49" fontId="17" fillId="3" borderId="7" xfId="0" applyNumberFormat="1" applyFont="1" applyFill="1" applyBorder="1" applyAlignment="1" applyProtection="1">
      <alignment vertical="top"/>
      <protection locked="0"/>
    </xf>
    <xf numFmtId="169" fontId="17" fillId="3" borderId="3" xfId="0" applyNumberFormat="1" applyFont="1" applyFill="1" applyBorder="1" applyAlignment="1" applyProtection="1">
      <alignment vertical="center"/>
      <protection locked="0"/>
    </xf>
    <xf numFmtId="169" fontId="17" fillId="0" borderId="3" xfId="0" applyNumberFormat="1" applyFont="1" applyBorder="1" applyAlignment="1" applyProtection="1">
      <alignment vertical="center"/>
      <protection locked="0"/>
    </xf>
    <xf numFmtId="169" fontId="17" fillId="0" borderId="2" xfId="0" applyNumberFormat="1" applyFont="1" applyBorder="1" applyAlignment="1" applyProtection="1">
      <alignment vertical="center"/>
      <protection locked="0"/>
    </xf>
    <xf numFmtId="169" fontId="17" fillId="3" borderId="2" xfId="0" applyNumberFormat="1" applyFont="1" applyFill="1" applyBorder="1" applyAlignment="1" applyProtection="1">
      <alignment vertical="center"/>
      <protection locked="0"/>
    </xf>
    <xf numFmtId="169" fontId="17" fillId="3" borderId="6" xfId="0" applyNumberFormat="1" applyFont="1" applyFill="1" applyBorder="1" applyAlignment="1" applyProtection="1">
      <alignment vertical="center"/>
      <protection locked="0"/>
    </xf>
    <xf numFmtId="49" fontId="42" fillId="3" borderId="3" xfId="0" applyNumberFormat="1" applyFont="1" applyFill="1" applyBorder="1" applyAlignment="1" applyProtection="1">
      <alignment vertical="top"/>
      <protection locked="0"/>
    </xf>
    <xf numFmtId="49" fontId="24" fillId="3" borderId="3" xfId="0" applyNumberFormat="1" applyFont="1" applyFill="1" applyBorder="1" applyAlignment="1" applyProtection="1">
      <alignment vertical="top"/>
      <protection locked="0"/>
    </xf>
    <xf numFmtId="2" fontId="3" fillId="2" borderId="3" xfId="0" applyNumberFormat="1" applyFont="1" applyFill="1" applyBorder="1"/>
    <xf numFmtId="0" fontId="16" fillId="0" borderId="3" xfId="0" applyFont="1" applyBorder="1" applyAlignment="1">
      <alignment horizontal="right" vertical="top"/>
    </xf>
    <xf numFmtId="0" fontId="18" fillId="0" borderId="3" xfId="0" applyFont="1" applyBorder="1" applyAlignment="1">
      <alignment horizontal="right" vertical="top"/>
    </xf>
    <xf numFmtId="2" fontId="14" fillId="2" borderId="3" xfId="0" applyNumberFormat="1" applyFont="1" applyFill="1" applyBorder="1" applyAlignment="1">
      <alignment horizontal="right" vertical="top"/>
    </xf>
    <xf numFmtId="4" fontId="16" fillId="0" borderId="13" xfId="0" applyNumberFormat="1" applyFont="1" applyBorder="1" applyAlignment="1">
      <alignment vertical="top" wrapText="1"/>
    </xf>
    <xf numFmtId="0" fontId="14" fillId="0" borderId="9" xfId="0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5" fillId="0" borderId="8" xfId="0" applyNumberFormat="1" applyFont="1" applyBorder="1" applyAlignment="1">
      <alignment vertical="center"/>
    </xf>
    <xf numFmtId="3" fontId="15" fillId="0" borderId="10" xfId="0" applyNumberFormat="1" applyFont="1" applyBorder="1" applyAlignment="1">
      <alignment horizontal="center" vertical="center"/>
    </xf>
    <xf numFmtId="2" fontId="15" fillId="0" borderId="10" xfId="0" applyNumberFormat="1" applyFont="1" applyBorder="1" applyAlignment="1">
      <alignment vertical="center"/>
    </xf>
    <xf numFmtId="0" fontId="14" fillId="0" borderId="13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49" fontId="17" fillId="3" borderId="4" xfId="0" applyNumberFormat="1" applyFont="1" applyFill="1" applyBorder="1" applyAlignment="1" applyProtection="1">
      <alignment vertical="top"/>
      <protection locked="0"/>
    </xf>
    <xf numFmtId="0" fontId="18" fillId="2" borderId="4" xfId="0" applyFont="1" applyFill="1" applyBorder="1" applyAlignment="1">
      <alignment horizontal="right" vertical="top"/>
    </xf>
    <xf numFmtId="2" fontId="14" fillId="2" borderId="4" xfId="0" applyNumberFormat="1" applyFont="1" applyFill="1" applyBorder="1" applyAlignment="1">
      <alignment vertical="top"/>
    </xf>
    <xf numFmtId="4" fontId="18" fillId="4" borderId="6" xfId="0" applyNumberFormat="1" applyFont="1" applyFill="1" applyBorder="1" applyAlignment="1">
      <alignment horizontal="right" vertical="top"/>
    </xf>
    <xf numFmtId="2" fontId="14" fillId="2" borderId="1" xfId="0" applyNumberFormat="1" applyFont="1" applyFill="1" applyBorder="1" applyAlignment="1">
      <alignment vertical="top"/>
    </xf>
    <xf numFmtId="49" fontId="14" fillId="0" borderId="13" xfId="0" applyNumberFormat="1" applyFont="1" applyBorder="1" applyAlignment="1" applyProtection="1">
      <alignment vertical="top"/>
      <protection locked="0"/>
    </xf>
    <xf numFmtId="49" fontId="17" fillId="0" borderId="13" xfId="0" applyNumberFormat="1" applyFont="1" applyBorder="1" applyAlignment="1" applyProtection="1">
      <alignment vertical="top"/>
      <protection locked="0"/>
    </xf>
    <xf numFmtId="0" fontId="16" fillId="0" borderId="13" xfId="0" applyFont="1" applyBorder="1" applyAlignment="1">
      <alignment vertical="top" wrapText="1"/>
    </xf>
    <xf numFmtId="49" fontId="18" fillId="0" borderId="13" xfId="0" applyNumberFormat="1" applyFont="1" applyBorder="1" applyAlignment="1">
      <alignment vertical="top" wrapText="1"/>
    </xf>
    <xf numFmtId="0" fontId="18" fillId="0" borderId="9" xfId="0" applyFont="1" applyBorder="1" applyAlignment="1">
      <alignment horizontal="right" vertical="top"/>
    </xf>
    <xf numFmtId="2" fontId="18" fillId="0" borderId="10" xfId="0" applyNumberFormat="1" applyFont="1" applyBorder="1" applyAlignment="1">
      <alignment horizontal="right" vertical="top"/>
    </xf>
    <xf numFmtId="4" fontId="18" fillId="0" borderId="9" xfId="0" applyNumberFormat="1" applyFont="1" applyBorder="1" applyAlignment="1">
      <alignment horizontal="right" vertical="top"/>
    </xf>
    <xf numFmtId="3" fontId="16" fillId="0" borderId="10" xfId="0" applyNumberFormat="1" applyFont="1" applyBorder="1" applyAlignment="1">
      <alignment horizontal="right" vertical="top"/>
    </xf>
    <xf numFmtId="0" fontId="24" fillId="0" borderId="13" xfId="0" applyFont="1" applyBorder="1" applyAlignment="1">
      <alignment vertical="top"/>
    </xf>
    <xf numFmtId="0" fontId="24" fillId="0" borderId="3" xfId="0" applyFont="1" applyBorder="1" applyAlignment="1">
      <alignment vertical="top"/>
    </xf>
    <xf numFmtId="1" fontId="16" fillId="0" borderId="13" xfId="0" applyNumberFormat="1" applyFont="1" applyBorder="1" applyAlignment="1">
      <alignment vertical="top" wrapText="1"/>
    </xf>
    <xf numFmtId="4" fontId="18" fillId="0" borderId="10" xfId="0" applyNumberFormat="1" applyFont="1" applyBorder="1" applyAlignment="1">
      <alignment vertical="top"/>
    </xf>
    <xf numFmtId="2" fontId="14" fillId="3" borderId="5" xfId="0" applyNumberFormat="1" applyFont="1" applyFill="1" applyBorder="1" applyAlignment="1" applyProtection="1">
      <alignment horizontal="right" vertical="top"/>
      <protection locked="0"/>
    </xf>
    <xf numFmtId="4" fontId="18" fillId="0" borderId="13" xfId="0" applyNumberFormat="1" applyFont="1" applyBorder="1" applyAlignment="1">
      <alignment horizontal="right" vertical="top"/>
    </xf>
    <xf numFmtId="4" fontId="18" fillId="4" borderId="4" xfId="0" applyNumberFormat="1" applyFont="1" applyFill="1" applyBorder="1" applyAlignment="1">
      <alignment horizontal="right" vertical="top"/>
    </xf>
    <xf numFmtId="49" fontId="18" fillId="0" borderId="5" xfId="0" applyNumberFormat="1" applyFont="1" applyBorder="1" applyAlignment="1">
      <alignment vertical="top"/>
    </xf>
    <xf numFmtId="4" fontId="18" fillId="0" borderId="3" xfId="0" applyNumberFormat="1" applyFont="1" applyBorder="1" applyAlignment="1">
      <alignment horizontal="right" vertical="top"/>
    </xf>
    <xf numFmtId="4" fontId="16" fillId="0" borderId="23" xfId="0" applyNumberFormat="1" applyFont="1" applyBorder="1" applyAlignment="1" applyProtection="1">
      <alignment vertical="center" wrapText="1"/>
      <protection locked="0"/>
    </xf>
    <xf numFmtId="49" fontId="14" fillId="5" borderId="0" xfId="0" applyNumberFormat="1" applyFont="1" applyFill="1" applyAlignment="1">
      <alignment vertical="center"/>
    </xf>
    <xf numFmtId="49" fontId="43" fillId="3" borderId="3" xfId="0" applyNumberFormat="1" applyFont="1" applyFill="1" applyBorder="1" applyAlignment="1" applyProtection="1">
      <alignment vertical="top"/>
      <protection locked="0"/>
    </xf>
    <xf numFmtId="49" fontId="35" fillId="6" borderId="3" xfId="0" applyNumberFormat="1" applyFont="1" applyFill="1" applyBorder="1" applyAlignment="1" applyProtection="1">
      <alignment vertical="top"/>
      <protection locked="0"/>
    </xf>
    <xf numFmtId="49" fontId="43" fillId="6" borderId="3" xfId="0" applyNumberFormat="1" applyFont="1" applyFill="1" applyBorder="1" applyAlignment="1" applyProtection="1">
      <alignment vertical="top"/>
      <protection locked="0"/>
    </xf>
    <xf numFmtId="49" fontId="14" fillId="6" borderId="3" xfId="0" applyNumberFormat="1" applyFont="1" applyFill="1" applyBorder="1" applyAlignment="1">
      <alignment vertical="top" wrapText="1"/>
    </xf>
    <xf numFmtId="2" fontId="18" fillId="6" borderId="5" xfId="0" applyNumberFormat="1" applyFont="1" applyFill="1" applyBorder="1" applyAlignment="1">
      <alignment horizontal="right" vertical="center"/>
    </xf>
    <xf numFmtId="4" fontId="18" fillId="6" borderId="2" xfId="0" applyNumberFormat="1" applyFont="1" applyFill="1" applyBorder="1" applyAlignment="1">
      <alignment horizontal="right" vertical="top"/>
    </xf>
    <xf numFmtId="0" fontId="14" fillId="6" borderId="2" xfId="0" applyFont="1" applyFill="1" applyBorder="1" applyAlignment="1">
      <alignment horizontal="center" vertical="center"/>
    </xf>
    <xf numFmtId="3" fontId="14" fillId="6" borderId="5" xfId="0" applyNumberFormat="1" applyFont="1" applyFill="1" applyBorder="1" applyAlignment="1">
      <alignment horizontal="center" vertical="center"/>
    </xf>
    <xf numFmtId="3" fontId="14" fillId="6" borderId="2" xfId="0" applyNumberFormat="1" applyFont="1" applyFill="1" applyBorder="1" applyAlignment="1">
      <alignment vertical="center"/>
    </xf>
    <xf numFmtId="0" fontId="15" fillId="6" borderId="3" xfId="0" applyFont="1" applyFill="1" applyBorder="1" applyAlignment="1">
      <alignment vertical="top" wrapText="1"/>
    </xf>
    <xf numFmtId="0" fontId="14" fillId="6" borderId="9" xfId="0" applyFont="1" applyFill="1" applyBorder="1" applyAlignment="1">
      <alignment vertical="center"/>
    </xf>
    <xf numFmtId="49" fontId="14" fillId="6" borderId="8" xfId="0" applyNumberFormat="1" applyFont="1" applyFill="1" applyBorder="1" applyAlignment="1">
      <alignment vertical="center"/>
    </xf>
    <xf numFmtId="0" fontId="14" fillId="6" borderId="10" xfId="0" applyFont="1" applyFill="1" applyBorder="1" applyAlignment="1">
      <alignment vertical="center"/>
    </xf>
    <xf numFmtId="0" fontId="15" fillId="6" borderId="13" xfId="0" applyFont="1" applyFill="1" applyBorder="1" applyAlignment="1">
      <alignment vertical="center"/>
    </xf>
    <xf numFmtId="0" fontId="18" fillId="6" borderId="3" xfId="0" applyFont="1" applyFill="1" applyBorder="1" applyAlignment="1">
      <alignment horizontal="right" vertical="top"/>
    </xf>
    <xf numFmtId="0" fontId="14" fillId="6" borderId="3" xfId="0" applyFont="1" applyFill="1" applyBorder="1" applyAlignment="1">
      <alignment vertical="top"/>
    </xf>
    <xf numFmtId="0" fontId="18" fillId="8" borderId="4" xfId="0" applyFont="1" applyFill="1" applyBorder="1" applyAlignment="1">
      <alignment vertical="top" wrapText="1"/>
    </xf>
    <xf numFmtId="4" fontId="18" fillId="4" borderId="1" xfId="0" applyNumberFormat="1" applyFont="1" applyFill="1" applyBorder="1" applyAlignment="1">
      <alignment horizontal="right" vertical="top"/>
    </xf>
    <xf numFmtId="49" fontId="14" fillId="6" borderId="3" xfId="0" applyNumberFormat="1" applyFont="1" applyFill="1" applyBorder="1" applyAlignment="1" applyProtection="1">
      <alignment vertical="top"/>
      <protection locked="0"/>
    </xf>
    <xf numFmtId="49" fontId="17" fillId="6" borderId="3" xfId="0" applyNumberFormat="1" applyFont="1" applyFill="1" applyBorder="1" applyAlignment="1" applyProtection="1">
      <alignment vertical="top"/>
      <protection locked="0"/>
    </xf>
    <xf numFmtId="0" fontId="16" fillId="6" borderId="3" xfId="0" applyFont="1" applyFill="1" applyBorder="1" applyAlignment="1">
      <alignment vertical="top" wrapText="1"/>
    </xf>
    <xf numFmtId="49" fontId="18" fillId="6" borderId="3" xfId="0" applyNumberFormat="1" applyFont="1" applyFill="1" applyBorder="1" applyAlignment="1">
      <alignment vertical="top" wrapText="1"/>
    </xf>
    <xf numFmtId="0" fontId="18" fillId="6" borderId="13" xfId="0" applyFont="1" applyFill="1" applyBorder="1" applyAlignment="1">
      <alignment horizontal="right" vertical="top"/>
    </xf>
    <xf numFmtId="4" fontId="16" fillId="6" borderId="5" xfId="0" applyNumberFormat="1" applyFont="1" applyFill="1" applyBorder="1" applyAlignment="1">
      <alignment vertical="top" wrapText="1"/>
    </xf>
    <xf numFmtId="49" fontId="14" fillId="0" borderId="2" xfId="0" applyNumberFormat="1" applyFont="1" applyBorder="1" applyAlignment="1" applyProtection="1">
      <alignment vertical="top"/>
      <protection locked="0"/>
    </xf>
    <xf numFmtId="0" fontId="18" fillId="0" borderId="13" xfId="0" applyFont="1" applyBorder="1" applyAlignment="1">
      <alignment horizontal="right" vertical="top"/>
    </xf>
    <xf numFmtId="2" fontId="18" fillId="0" borderId="13" xfId="0" applyNumberFormat="1" applyFont="1" applyBorder="1" applyAlignment="1">
      <alignment horizontal="right" vertical="top"/>
    </xf>
    <xf numFmtId="4" fontId="18" fillId="0" borderId="10" xfId="0" applyNumberFormat="1" applyFont="1" applyBorder="1" applyAlignment="1">
      <alignment horizontal="right" vertical="top"/>
    </xf>
    <xf numFmtId="49" fontId="18" fillId="2" borderId="4" xfId="0" applyNumberFormat="1" applyFont="1" applyFill="1" applyBorder="1" applyAlignment="1">
      <alignment vertical="top" wrapText="1"/>
    </xf>
    <xf numFmtId="0" fontId="18" fillId="2" borderId="6" xfId="0" applyFont="1" applyFill="1" applyBorder="1" applyAlignment="1">
      <alignment horizontal="right" vertical="top"/>
    </xf>
    <xf numFmtId="2" fontId="18" fillId="2" borderId="7" xfId="0" applyNumberFormat="1" applyFont="1" applyFill="1" applyBorder="1" applyAlignment="1">
      <alignment horizontal="right" vertical="top"/>
    </xf>
    <xf numFmtId="0" fontId="15" fillId="0" borderId="9" xfId="0" applyFont="1" applyBorder="1" applyAlignment="1">
      <alignment vertical="center"/>
    </xf>
    <xf numFmtId="0" fontId="14" fillId="2" borderId="4" xfId="0" applyFont="1" applyFill="1" applyBorder="1" applyAlignment="1">
      <alignment vertical="top"/>
    </xf>
    <xf numFmtId="49" fontId="35" fillId="0" borderId="0" xfId="0" applyNumberFormat="1" applyFont="1" applyAlignment="1">
      <alignment vertical="top"/>
    </xf>
    <xf numFmtId="0" fontId="35" fillId="6" borderId="0" xfId="0" applyFont="1" applyFill="1" applyAlignment="1">
      <alignment vertical="center"/>
    </xf>
    <xf numFmtId="0" fontId="15" fillId="0" borderId="10" xfId="0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right" vertical="top"/>
    </xf>
    <xf numFmtId="3" fontId="16" fillId="4" borderId="3" xfId="0" applyNumberFormat="1" applyFont="1" applyFill="1" applyBorder="1" applyAlignment="1">
      <alignment horizontal="right" vertical="top"/>
    </xf>
    <xf numFmtId="4" fontId="22" fillId="0" borderId="3" xfId="0" applyNumberFormat="1" applyFont="1" applyBorder="1" applyAlignment="1">
      <alignment horizontal="right" vertical="top"/>
    </xf>
    <xf numFmtId="3" fontId="16" fillId="0" borderId="3" xfId="0" applyNumberFormat="1" applyFont="1" applyBorder="1" applyAlignment="1">
      <alignment horizontal="right" vertical="top"/>
    </xf>
    <xf numFmtId="49" fontId="18" fillId="0" borderId="3" xfId="0" applyNumberFormat="1" applyFont="1" applyBorder="1" applyAlignment="1">
      <alignment vertical="top"/>
    </xf>
    <xf numFmtId="3" fontId="16" fillId="0" borderId="0" xfId="0" applyNumberFormat="1" applyFont="1" applyAlignment="1">
      <alignment horizontal="right" vertical="top"/>
    </xf>
    <xf numFmtId="3" fontId="16" fillId="0" borderId="13" xfId="0" applyNumberFormat="1" applyFont="1" applyBorder="1" applyAlignment="1">
      <alignment horizontal="right" vertical="top"/>
    </xf>
    <xf numFmtId="2" fontId="14" fillId="3" borderId="4" xfId="0" applyNumberFormat="1" applyFont="1" applyFill="1" applyBorder="1" applyAlignment="1" applyProtection="1">
      <alignment vertical="top"/>
      <protection locked="0"/>
    </xf>
    <xf numFmtId="2" fontId="18" fillId="2" borderId="4" xfId="0" applyNumberFormat="1" applyFont="1" applyFill="1" applyBorder="1" applyAlignment="1">
      <alignment horizontal="right" vertical="top"/>
    </xf>
    <xf numFmtId="2" fontId="18" fillId="4" borderId="4" xfId="0" applyNumberFormat="1" applyFont="1" applyFill="1" applyBorder="1" applyAlignment="1">
      <alignment horizontal="right" vertical="top"/>
    </xf>
    <xf numFmtId="0" fontId="15" fillId="2" borderId="3" xfId="0" applyFont="1" applyFill="1" applyBorder="1" applyAlignment="1">
      <alignment vertical="top" wrapText="1"/>
    </xf>
    <xf numFmtId="0" fontId="14" fillId="2" borderId="3" xfId="0" applyFont="1" applyFill="1" applyBorder="1" applyAlignment="1">
      <alignment horizontal="right" vertical="top"/>
    </xf>
    <xf numFmtId="2" fontId="24" fillId="3" borderId="3" xfId="0" applyNumberFormat="1" applyFont="1" applyFill="1" applyBorder="1" applyAlignment="1" applyProtection="1">
      <alignment vertical="center"/>
      <protection locked="0"/>
    </xf>
    <xf numFmtId="2" fontId="18" fillId="2" borderId="3" xfId="0" applyNumberFormat="1" applyFont="1" applyFill="1" applyBorder="1" applyAlignment="1">
      <alignment vertical="center" wrapText="1"/>
    </xf>
    <xf numFmtId="2" fontId="14" fillId="0" borderId="3" xfId="0" applyNumberFormat="1" applyFont="1" applyBorder="1" applyAlignment="1" applyProtection="1">
      <alignment vertical="top"/>
      <protection locked="0"/>
    </xf>
    <xf numFmtId="2" fontId="16" fillId="0" borderId="3" xfId="0" applyNumberFormat="1" applyFont="1" applyBorder="1" applyAlignment="1">
      <alignment vertical="top" wrapText="1"/>
    </xf>
    <xf numFmtId="2" fontId="18" fillId="0" borderId="3" xfId="0" applyNumberFormat="1" applyFont="1" applyBorder="1" applyAlignment="1">
      <alignment vertical="top" wrapText="1"/>
    </xf>
    <xf numFmtId="2" fontId="14" fillId="3" borderId="3" xfId="0" applyNumberFormat="1" applyFont="1" applyFill="1" applyBorder="1" applyAlignment="1" applyProtection="1">
      <alignment vertical="top"/>
      <protection locked="0"/>
    </xf>
    <xf numFmtId="2" fontId="18" fillId="2" borderId="3" xfId="0" applyNumberFormat="1" applyFont="1" applyFill="1" applyBorder="1" applyAlignment="1">
      <alignment vertical="top" wrapText="1"/>
    </xf>
    <xf numFmtId="2" fontId="18" fillId="10" borderId="3" xfId="0" applyNumberFormat="1" applyFont="1" applyFill="1" applyBorder="1" applyAlignment="1">
      <alignment vertical="top" wrapText="1"/>
    </xf>
    <xf numFmtId="2" fontId="16" fillId="0" borderId="3" xfId="0" applyNumberFormat="1" applyFont="1" applyBorder="1" applyAlignment="1" applyProtection="1">
      <alignment vertical="center" wrapText="1"/>
      <protection locked="0"/>
    </xf>
    <xf numFmtId="2" fontId="18" fillId="4" borderId="3" xfId="0" applyNumberFormat="1" applyFont="1" applyFill="1" applyBorder="1" applyAlignment="1">
      <alignment horizontal="right" vertical="center"/>
    </xf>
    <xf numFmtId="2" fontId="18" fillId="4" borderId="3" xfId="0" applyNumberFormat="1" applyFont="1" applyFill="1" applyBorder="1" applyAlignment="1">
      <alignment horizontal="right" vertical="top"/>
    </xf>
    <xf numFmtId="2" fontId="38" fillId="4" borderId="3" xfId="0" applyNumberFormat="1" applyFont="1" applyFill="1" applyBorder="1" applyAlignment="1">
      <alignment horizontal="right" vertical="center"/>
    </xf>
    <xf numFmtId="2" fontId="14" fillId="0" borderId="3" xfId="0" applyNumberFormat="1" applyFont="1" applyBorder="1" applyAlignment="1">
      <alignment vertical="top"/>
    </xf>
    <xf numFmtId="2" fontId="14" fillId="0" borderId="3" xfId="0" applyNumberFormat="1" applyFont="1" applyBorder="1" applyAlignment="1">
      <alignment vertical="center"/>
    </xf>
    <xf numFmtId="2" fontId="16" fillId="0" borderId="13" xfId="0" applyNumberFormat="1" applyFont="1" applyBorder="1" applyAlignment="1">
      <alignment vertical="top"/>
    </xf>
    <xf numFmtId="2" fontId="16" fillId="0" borderId="13" xfId="0" applyNumberFormat="1" applyFont="1" applyBorder="1" applyAlignment="1">
      <alignment horizontal="right" vertical="top"/>
    </xf>
    <xf numFmtId="2" fontId="14" fillId="0" borderId="9" xfId="0" applyNumberFormat="1" applyFont="1" applyBorder="1" applyAlignment="1">
      <alignment vertical="center"/>
    </xf>
    <xf numFmtId="2" fontId="14" fillId="0" borderId="8" xfId="0" applyNumberFormat="1" applyFont="1" applyBorder="1" applyAlignment="1">
      <alignment vertical="center"/>
    </xf>
    <xf numFmtId="2" fontId="14" fillId="0" borderId="10" xfId="0" applyNumberFormat="1" applyFont="1" applyBorder="1" applyAlignment="1">
      <alignment vertical="center"/>
    </xf>
    <xf numFmtId="2" fontId="14" fillId="0" borderId="13" xfId="0" applyNumberFormat="1" applyFont="1" applyBorder="1" applyAlignment="1">
      <alignment vertical="center"/>
    </xf>
    <xf numFmtId="2" fontId="14" fillId="0" borderId="13" xfId="0" applyNumberFormat="1" applyFont="1" applyBorder="1" applyAlignment="1">
      <alignment vertical="top"/>
    </xf>
    <xf numFmtId="2" fontId="18" fillId="2" borderId="4" xfId="0" applyNumberFormat="1" applyFont="1" applyFill="1" applyBorder="1" applyAlignment="1">
      <alignment vertical="top" wrapText="1"/>
    </xf>
    <xf numFmtId="2" fontId="14" fillId="0" borderId="1" xfId="0" applyNumberFormat="1" applyFont="1" applyBorder="1" applyAlignment="1">
      <alignment vertical="center"/>
    </xf>
    <xf numFmtId="2" fontId="15" fillId="4" borderId="6" xfId="0" applyNumberFormat="1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49" fontId="15" fillId="4" borderId="1" xfId="0" applyNumberFormat="1" applyFont="1" applyFill="1" applyBorder="1" applyAlignment="1">
      <alignment horizontal="right" vertical="center" wrapText="1"/>
    </xf>
    <xf numFmtId="3" fontId="14" fillId="4" borderId="0" xfId="0" applyNumberFormat="1" applyFont="1" applyFill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49" fontId="15" fillId="0" borderId="3" xfId="0" applyNumberFormat="1" applyFont="1" applyBorder="1" applyAlignment="1">
      <alignment vertical="center" wrapText="1"/>
    </xf>
    <xf numFmtId="49" fontId="14" fillId="0" borderId="0" xfId="0" applyNumberFormat="1" applyFont="1" applyAlignment="1">
      <alignment horizontal="right" vertical="center" wrapText="1"/>
    </xf>
    <xf numFmtId="0" fontId="14" fillId="2" borderId="5" xfId="0" applyFont="1" applyFill="1" applyBorder="1" applyAlignment="1">
      <alignment vertical="top"/>
    </xf>
    <xf numFmtId="4" fontId="18" fillId="0" borderId="0" xfId="0" applyNumberFormat="1" applyFont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4" fontId="18" fillId="0" borderId="16" xfId="0" applyNumberFormat="1" applyFont="1" applyBorder="1" applyAlignment="1">
      <alignment horizontal="right" vertical="center"/>
    </xf>
    <xf numFmtId="4" fontId="38" fillId="0" borderId="16" xfId="0" applyNumberFormat="1" applyFont="1" applyBorder="1" applyAlignment="1">
      <alignment vertical="center" wrapText="1"/>
    </xf>
    <xf numFmtId="0" fontId="14" fillId="0" borderId="16" xfId="0" applyFont="1" applyBorder="1" applyAlignment="1">
      <alignment vertical="center"/>
    </xf>
    <xf numFmtId="4" fontId="22" fillId="2" borderId="0" xfId="0" applyNumberFormat="1" applyFont="1" applyFill="1" applyAlignment="1">
      <alignment horizontal="right" vertical="top"/>
    </xf>
    <xf numFmtId="49" fontId="18" fillId="3" borderId="15" xfId="0" applyNumberFormat="1" applyFont="1" applyFill="1" applyBorder="1" applyAlignment="1">
      <alignment horizontal="center" vertical="center" wrapText="1"/>
    </xf>
    <xf numFmtId="1" fontId="14" fillId="0" borderId="11" xfId="0" applyNumberFormat="1" applyFont="1" applyBorder="1" applyAlignment="1" applyProtection="1">
      <alignment horizontal="left" vertical="center"/>
      <protection locked="0"/>
    </xf>
    <xf numFmtId="1" fontId="14" fillId="3" borderId="3" xfId="0" applyNumberFormat="1" applyFont="1" applyFill="1" applyBorder="1" applyAlignment="1" applyProtection="1">
      <alignment horizontal="left" vertical="center"/>
      <protection locked="0"/>
    </xf>
    <xf numFmtId="1" fontId="14" fillId="0" borderId="3" xfId="0" applyNumberFormat="1" applyFont="1" applyBorder="1" applyAlignment="1" applyProtection="1">
      <alignment horizontal="left" vertical="center"/>
      <protection locked="0"/>
    </xf>
    <xf numFmtId="1" fontId="14" fillId="3" borderId="4" xfId="0" applyNumberFormat="1" applyFont="1" applyFill="1" applyBorder="1" applyAlignment="1" applyProtection="1">
      <alignment horizontal="left" vertical="center"/>
      <protection locked="0"/>
    </xf>
    <xf numFmtId="1" fontId="14" fillId="3" borderId="3" xfId="0" applyNumberFormat="1" applyFont="1" applyFill="1" applyBorder="1" applyAlignment="1" applyProtection="1">
      <alignment horizontal="left" vertical="top"/>
      <protection locked="0"/>
    </xf>
    <xf numFmtId="1" fontId="14" fillId="0" borderId="13" xfId="0" applyNumberFormat="1" applyFont="1" applyBorder="1" applyAlignment="1" applyProtection="1">
      <alignment horizontal="left" vertical="center"/>
      <protection locked="0"/>
    </xf>
    <xf numFmtId="1" fontId="14" fillId="0" borderId="3" xfId="0" applyNumberFormat="1" applyFont="1" applyBorder="1" applyAlignment="1" applyProtection="1">
      <alignment horizontal="left" vertical="top"/>
      <protection locked="0"/>
    </xf>
    <xf numFmtId="1" fontId="14" fillId="3" borderId="4" xfId="0" applyNumberFormat="1" applyFont="1" applyFill="1" applyBorder="1" applyAlignment="1" applyProtection="1">
      <alignment horizontal="left" vertical="top"/>
      <protection locked="0"/>
    </xf>
    <xf numFmtId="1" fontId="14" fillId="0" borderId="11" xfId="0" applyNumberFormat="1" applyFont="1" applyBorder="1" applyAlignment="1" applyProtection="1">
      <alignment horizontal="left" vertical="top"/>
      <protection locked="0"/>
    </xf>
    <xf numFmtId="1" fontId="14" fillId="0" borderId="13" xfId="0" applyNumberFormat="1" applyFont="1" applyBorder="1" applyAlignment="1" applyProtection="1">
      <alignment horizontal="left" vertical="top"/>
      <protection locked="0"/>
    </xf>
    <xf numFmtId="1" fontId="35" fillId="6" borderId="3" xfId="0" applyNumberFormat="1" applyFont="1" applyFill="1" applyBorder="1" applyAlignment="1" applyProtection="1">
      <alignment horizontal="left" vertical="top"/>
      <protection locked="0"/>
    </xf>
    <xf numFmtId="49" fontId="0" fillId="0" borderId="0" xfId="0" applyNumberFormat="1" applyAlignment="1">
      <alignment horizontal="left"/>
    </xf>
    <xf numFmtId="0" fontId="14" fillId="3" borderId="0" xfId="0" applyFont="1" applyFill="1" applyAlignment="1" applyProtection="1">
      <alignment horizontal="right" vertical="center"/>
      <protection locked="0"/>
    </xf>
    <xf numFmtId="4" fontId="15" fillId="4" borderId="0" xfId="0" applyNumberFormat="1" applyFont="1" applyFill="1" applyAlignment="1">
      <alignment vertical="center"/>
    </xf>
    <xf numFmtId="4" fontId="15" fillId="0" borderId="2" xfId="0" applyNumberFormat="1" applyFont="1" applyBorder="1" applyAlignment="1">
      <alignment vertical="center"/>
    </xf>
    <xf numFmtId="4" fontId="15" fillId="4" borderId="2" xfId="0" applyNumberFormat="1" applyFont="1" applyFill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0" fontId="14" fillId="0" borderId="10" xfId="0" applyFont="1" applyBorder="1" applyAlignment="1">
      <alignment vertical="top"/>
    </xf>
    <xf numFmtId="0" fontId="0" fillId="0" borderId="15" xfId="0" applyBorder="1"/>
    <xf numFmtId="0" fontId="11" fillId="0" borderId="0" xfId="0" applyFont="1" applyAlignment="1">
      <alignment horizontal="left"/>
    </xf>
    <xf numFmtId="0" fontId="16" fillId="2" borderId="15" xfId="0" applyFont="1" applyFill="1" applyBorder="1" applyAlignment="1">
      <alignment horizontal="center" vertical="center" wrapText="1"/>
    </xf>
    <xf numFmtId="49" fontId="16" fillId="2" borderId="15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 applyProtection="1">
      <alignment vertical="center"/>
      <protection locked="0"/>
    </xf>
    <xf numFmtId="49" fontId="14" fillId="3" borderId="0" xfId="0" applyNumberFormat="1" applyFont="1" applyFill="1" applyAlignment="1">
      <alignment horizontal="left" vertical="center"/>
    </xf>
    <xf numFmtId="49" fontId="14" fillId="4" borderId="0" xfId="0" applyNumberFormat="1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1" fontId="18" fillId="5" borderId="0" xfId="0" applyNumberFormat="1" applyFont="1" applyFill="1" applyAlignment="1">
      <alignment vertical="top" wrapText="1"/>
    </xf>
    <xf numFmtId="1" fontId="16" fillId="0" borderId="0" xfId="0" applyNumberFormat="1" applyFont="1" applyAlignment="1">
      <alignment vertical="top"/>
    </xf>
    <xf numFmtId="1" fontId="18" fillId="6" borderId="0" xfId="0" applyNumberFormat="1" applyFont="1" applyFill="1" applyAlignment="1">
      <alignment vertical="top"/>
    </xf>
    <xf numFmtId="1" fontId="14" fillId="6" borderId="0" xfId="0" applyNumberFormat="1" applyFont="1" applyFill="1" applyAlignment="1">
      <alignment vertical="top"/>
    </xf>
    <xf numFmtId="1" fontId="14" fillId="0" borderId="0" xfId="0" applyNumberFormat="1" applyFont="1" applyAlignment="1">
      <alignment vertical="top" wrapText="1"/>
    </xf>
    <xf numFmtId="49" fontId="18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/>
    </xf>
    <xf numFmtId="166" fontId="14" fillId="0" borderId="5" xfId="2" applyNumberFormat="1" applyFont="1" applyFill="1" applyBorder="1" applyAlignment="1" applyProtection="1">
      <alignment horizontal="left" vertical="top" wrapText="1"/>
      <protection locked="0"/>
    </xf>
    <xf numFmtId="49" fontId="14" fillId="3" borderId="5" xfId="2" applyNumberFormat="1" applyFont="1" applyFill="1" applyBorder="1" applyAlignment="1" applyProtection="1">
      <alignment horizontal="left" vertical="top" wrapText="1"/>
      <protection locked="0"/>
    </xf>
    <xf numFmtId="49" fontId="14" fillId="0" borderId="5" xfId="2" applyNumberFormat="1" applyFont="1" applyFill="1" applyBorder="1" applyAlignment="1" applyProtection="1">
      <alignment horizontal="left" vertical="top" wrapText="1"/>
      <protection locked="0"/>
    </xf>
    <xf numFmtId="49" fontId="14" fillId="3" borderId="7" xfId="2" applyNumberFormat="1" applyFont="1" applyFill="1" applyBorder="1" applyAlignment="1" applyProtection="1">
      <alignment horizontal="left" vertical="top" wrapText="1"/>
      <protection locked="0"/>
    </xf>
    <xf numFmtId="0" fontId="15" fillId="3" borderId="0" xfId="0" applyFont="1" applyFill="1" applyAlignment="1" applyProtection="1">
      <alignment vertical="center"/>
      <protection locked="0"/>
    </xf>
    <xf numFmtId="49" fontId="15" fillId="3" borderId="0" xfId="0" applyNumberFormat="1" applyFont="1" applyFill="1" applyAlignment="1" applyProtection="1">
      <alignment vertical="center"/>
      <protection locked="0"/>
    </xf>
    <xf numFmtId="4" fontId="14" fillId="3" borderId="0" xfId="0" applyNumberFormat="1" applyFont="1" applyFill="1" applyAlignment="1" applyProtection="1">
      <alignment vertical="center"/>
      <protection locked="0"/>
    </xf>
    <xf numFmtId="4" fontId="14" fillId="3" borderId="0" xfId="0" applyNumberFormat="1" applyFont="1" applyFill="1" applyAlignment="1" applyProtection="1">
      <alignment horizontal="right" vertical="center"/>
      <protection locked="0"/>
    </xf>
    <xf numFmtId="49" fontId="18" fillId="2" borderId="2" xfId="0" applyNumberFormat="1" applyFont="1" applyFill="1" applyBorder="1" applyAlignment="1" applyProtection="1">
      <alignment horizontal="right" vertical="center"/>
      <protection locked="0"/>
    </xf>
    <xf numFmtId="3" fontId="16" fillId="3" borderId="3" xfId="0" applyNumberFormat="1" applyFont="1" applyFill="1" applyBorder="1" applyAlignment="1" applyProtection="1">
      <alignment vertical="center" wrapText="1"/>
      <protection locked="0"/>
    </xf>
    <xf numFmtId="4" fontId="16" fillId="3" borderId="5" xfId="0" applyNumberFormat="1" applyFont="1" applyFill="1" applyBorder="1" applyAlignment="1" applyProtection="1">
      <alignment vertical="center" wrapText="1"/>
      <protection locked="0"/>
    </xf>
    <xf numFmtId="4" fontId="18" fillId="3" borderId="3" xfId="0" applyNumberFormat="1" applyFont="1" applyFill="1" applyBorder="1" applyAlignment="1" applyProtection="1">
      <alignment vertical="center"/>
      <protection locked="0"/>
    </xf>
    <xf numFmtId="49" fontId="18" fillId="0" borderId="2" xfId="0" applyNumberFormat="1" applyFont="1" applyBorder="1" applyAlignment="1" applyProtection="1">
      <alignment horizontal="right" vertical="center"/>
      <protection locked="0"/>
    </xf>
    <xf numFmtId="3" fontId="16" fillId="0" borderId="3" xfId="0" applyNumberFormat="1" applyFont="1" applyBorder="1" applyAlignment="1" applyProtection="1">
      <alignment vertical="center" wrapText="1"/>
      <protection locked="0"/>
    </xf>
    <xf numFmtId="4" fontId="16" fillId="0" borderId="5" xfId="0" applyNumberFormat="1" applyFont="1" applyBorder="1" applyAlignment="1" applyProtection="1">
      <alignment vertical="center" wrapText="1"/>
      <protection locked="0"/>
    </xf>
    <xf numFmtId="4" fontId="18" fillId="0" borderId="3" xfId="0" applyNumberFormat="1" applyFont="1" applyBorder="1" applyAlignment="1" applyProtection="1">
      <alignment vertical="center"/>
      <protection locked="0"/>
    </xf>
    <xf numFmtId="49" fontId="16" fillId="3" borderId="2" xfId="0" applyNumberFormat="1" applyFont="1" applyFill="1" applyBorder="1" applyAlignment="1" applyProtection="1">
      <alignment horizontal="right" vertical="center"/>
      <protection locked="0"/>
    </xf>
    <xf numFmtId="49" fontId="18" fillId="3" borderId="2" xfId="0" applyNumberFormat="1" applyFont="1" applyFill="1" applyBorder="1" applyAlignment="1" applyProtection="1">
      <alignment horizontal="right" vertical="center"/>
      <protection locked="0"/>
    </xf>
    <xf numFmtId="3" fontId="16" fillId="3" borderId="3" xfId="0" applyNumberFormat="1" applyFont="1" applyFill="1" applyBorder="1" applyAlignment="1" applyProtection="1">
      <alignment vertical="center"/>
      <protection locked="0"/>
    </xf>
    <xf numFmtId="3" fontId="16" fillId="0" borderId="3" xfId="0" applyNumberFormat="1" applyFont="1" applyBorder="1" applyAlignment="1" applyProtection="1">
      <alignment vertical="center"/>
      <protection locked="0"/>
    </xf>
    <xf numFmtId="3" fontId="25" fillId="3" borderId="3" xfId="0" applyNumberFormat="1" applyFont="1" applyFill="1" applyBorder="1" applyAlignment="1" applyProtection="1">
      <alignment vertical="center" wrapText="1"/>
      <protection locked="0"/>
    </xf>
    <xf numFmtId="3" fontId="25" fillId="0" borderId="3" xfId="0" applyNumberFormat="1" applyFont="1" applyBorder="1" applyAlignment="1" applyProtection="1">
      <alignment vertical="center" wrapText="1"/>
      <protection locked="0"/>
    </xf>
    <xf numFmtId="49" fontId="18" fillId="2" borderId="3" xfId="0" applyNumberFormat="1" applyFont="1" applyFill="1" applyBorder="1" applyAlignment="1" applyProtection="1">
      <alignment horizontal="right" vertical="center"/>
      <protection locked="0"/>
    </xf>
    <xf numFmtId="49" fontId="18" fillId="2" borderId="4" xfId="0" applyNumberFormat="1" applyFont="1" applyFill="1" applyBorder="1" applyAlignment="1" applyProtection="1">
      <alignment horizontal="right" vertical="center"/>
      <protection locked="0"/>
    </xf>
    <xf numFmtId="3" fontId="16" fillId="3" borderId="4" xfId="0" applyNumberFormat="1" applyFont="1" applyFill="1" applyBorder="1" applyAlignment="1" applyProtection="1">
      <alignment vertical="center" wrapText="1"/>
      <protection locked="0"/>
    </xf>
    <xf numFmtId="4" fontId="18" fillId="3" borderId="4" xfId="0" applyNumberFormat="1" applyFont="1" applyFill="1" applyBorder="1" applyAlignment="1" applyProtection="1">
      <alignment vertical="center"/>
      <protection locked="0"/>
    </xf>
    <xf numFmtId="1" fontId="14" fillId="3" borderId="0" xfId="0" applyNumberFormat="1" applyFont="1" applyFill="1" applyAlignment="1" applyProtection="1">
      <alignment vertical="center"/>
      <protection locked="0"/>
    </xf>
    <xf numFmtId="4" fontId="15" fillId="3" borderId="0" xfId="0" applyNumberFormat="1" applyFont="1" applyFill="1" applyAlignment="1" applyProtection="1">
      <alignment horizontal="right" vertical="center"/>
      <protection locked="0"/>
    </xf>
    <xf numFmtId="1" fontId="16" fillId="3" borderId="2" xfId="0" applyNumberFormat="1" applyFont="1" applyFill="1" applyBorder="1" applyAlignment="1" applyProtection="1">
      <alignment vertical="center" wrapText="1"/>
      <protection locked="0"/>
    </xf>
    <xf numFmtId="1" fontId="16" fillId="3" borderId="2" xfId="0" applyNumberFormat="1" applyFont="1" applyFill="1" applyBorder="1" applyAlignment="1" applyProtection="1">
      <alignment vertical="top" wrapText="1"/>
      <protection locked="0"/>
    </xf>
    <xf numFmtId="1" fontId="16" fillId="0" borderId="2" xfId="0" applyNumberFormat="1" applyFont="1" applyBorder="1" applyAlignment="1" applyProtection="1">
      <alignment vertical="center" wrapText="1"/>
      <protection locked="0"/>
    </xf>
    <xf numFmtId="1" fontId="25" fillId="3" borderId="2" xfId="0" applyNumberFormat="1" applyFont="1" applyFill="1" applyBorder="1" applyAlignment="1" applyProtection="1">
      <alignment vertical="center" wrapText="1"/>
      <protection locked="0"/>
    </xf>
    <xf numFmtId="49" fontId="16" fillId="3" borderId="0" xfId="0" applyNumberFormat="1" applyFont="1" applyFill="1" applyAlignment="1" applyProtection="1">
      <alignment horizontal="right" vertical="center"/>
      <protection locked="0"/>
    </xf>
    <xf numFmtId="169" fontId="18" fillId="0" borderId="0" xfId="0" applyNumberFormat="1" applyFont="1" applyAlignment="1" applyProtection="1">
      <alignment horizontal="right" vertical="center"/>
      <protection locked="0"/>
    </xf>
    <xf numFmtId="169" fontId="18" fillId="3" borderId="1" xfId="0" applyNumberFormat="1" applyFont="1" applyFill="1" applyBorder="1" applyAlignment="1" applyProtection="1">
      <alignment horizontal="right" vertical="center"/>
      <protection locked="0"/>
    </xf>
    <xf numFmtId="1" fontId="16" fillId="3" borderId="6" xfId="0" applyNumberFormat="1" applyFont="1" applyFill="1" applyBorder="1" applyAlignment="1" applyProtection="1">
      <alignment vertical="center" wrapText="1"/>
      <protection locked="0"/>
    </xf>
    <xf numFmtId="169" fontId="18" fillId="3" borderId="4" xfId="0" applyNumberFormat="1" applyFont="1" applyFill="1" applyBorder="1" applyAlignment="1" applyProtection="1">
      <alignment vertical="center" wrapText="1"/>
      <protection locked="0"/>
    </xf>
    <xf numFmtId="4" fontId="16" fillId="3" borderId="5" xfId="0" applyNumberFormat="1" applyFont="1" applyFill="1" applyBorder="1" applyAlignment="1" applyProtection="1">
      <alignment vertical="top"/>
      <protection locked="0"/>
    </xf>
    <xf numFmtId="4" fontId="18" fillId="3" borderId="3" xfId="0" applyNumberFormat="1" applyFont="1" applyFill="1" applyBorder="1" applyAlignment="1" applyProtection="1">
      <alignment vertical="top"/>
      <protection locked="0"/>
    </xf>
    <xf numFmtId="4" fontId="16" fillId="3" borderId="5" xfId="0" applyNumberFormat="1" applyFont="1" applyFill="1" applyBorder="1" applyAlignment="1" applyProtection="1">
      <alignment horizontal="right" vertical="center" wrapText="1"/>
      <protection locked="0"/>
    </xf>
    <xf numFmtId="169" fontId="16" fillId="3" borderId="5" xfId="0" applyNumberFormat="1" applyFont="1" applyFill="1" applyBorder="1" applyAlignment="1" applyProtection="1">
      <alignment vertical="center" wrapText="1"/>
      <protection locked="0"/>
    </xf>
    <xf numFmtId="2" fontId="18" fillId="3" borderId="3" xfId="0" applyNumberFormat="1" applyFont="1" applyFill="1" applyBorder="1" applyAlignment="1" applyProtection="1">
      <alignment horizontal="right" vertical="center" readingOrder="1"/>
      <protection locked="0"/>
    </xf>
    <xf numFmtId="2" fontId="18" fillId="3" borderId="3" xfId="0" applyNumberFormat="1" applyFont="1" applyFill="1" applyBorder="1" applyAlignment="1" applyProtection="1">
      <alignment horizontal="right" vertical="center"/>
      <protection locked="0"/>
    </xf>
    <xf numFmtId="169" fontId="16" fillId="0" borderId="5" xfId="0" applyNumberFormat="1" applyFont="1" applyBorder="1" applyAlignment="1" applyProtection="1">
      <alignment vertical="center" wrapText="1"/>
      <protection locked="0"/>
    </xf>
    <xf numFmtId="2" fontId="18" fillId="0" borderId="3" xfId="0" applyNumberFormat="1" applyFont="1" applyBorder="1" applyAlignment="1" applyProtection="1">
      <alignment vertical="center"/>
      <protection locked="0"/>
    </xf>
    <xf numFmtId="2" fontId="18" fillId="3" borderId="3" xfId="0" applyNumberFormat="1" applyFont="1" applyFill="1" applyBorder="1" applyAlignment="1" applyProtection="1">
      <alignment vertical="center"/>
      <protection locked="0"/>
    </xf>
    <xf numFmtId="169" fontId="16" fillId="3" borderId="7" xfId="0" applyNumberFormat="1" applyFont="1" applyFill="1" applyBorder="1" applyAlignment="1" applyProtection="1">
      <alignment vertical="center" wrapText="1"/>
      <protection locked="0"/>
    </xf>
    <xf numFmtId="2" fontId="18" fillId="3" borderId="4" xfId="0" applyNumberFormat="1" applyFont="1" applyFill="1" applyBorder="1" applyAlignment="1" applyProtection="1">
      <alignment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3" fontId="15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vertical="center"/>
      <protection locked="0"/>
    </xf>
    <xf numFmtId="3" fontId="15" fillId="0" borderId="5" xfId="0" applyNumberFormat="1" applyFont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49" fontId="15" fillId="3" borderId="1" xfId="0" applyNumberFormat="1" applyFont="1" applyFill="1" applyBorder="1" applyAlignment="1" applyProtection="1">
      <alignment vertical="center"/>
      <protection locked="0"/>
    </xf>
    <xf numFmtId="3" fontId="15" fillId="3" borderId="7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3" fontId="14" fillId="3" borderId="5" xfId="0" applyNumberFormat="1" applyFont="1" applyFill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3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49" fontId="14" fillId="3" borderId="1" xfId="0" applyNumberFormat="1" applyFont="1" applyFill="1" applyBorder="1" applyAlignment="1" applyProtection="1">
      <alignment vertical="center"/>
      <protection locked="0"/>
    </xf>
    <xf numFmtId="3" fontId="14" fillId="3" borderId="7" xfId="0" applyNumberFormat="1" applyFont="1" applyFill="1" applyBorder="1" applyAlignment="1" applyProtection="1">
      <alignment horizontal="center" vertical="center"/>
      <protection locked="0"/>
    </xf>
    <xf numFmtId="1" fontId="16" fillId="3" borderId="3" xfId="0" applyNumberFormat="1" applyFont="1" applyFill="1" applyBorder="1" applyAlignment="1" applyProtection="1">
      <alignment vertical="center" wrapText="1"/>
      <protection locked="0"/>
    </xf>
    <xf numFmtId="1" fontId="16" fillId="0" borderId="3" xfId="0" applyNumberFormat="1" applyFont="1" applyBorder="1" applyAlignment="1" applyProtection="1">
      <alignment vertical="center" wrapText="1"/>
      <protection locked="0"/>
    </xf>
    <xf numFmtId="1" fontId="16" fillId="3" borderId="3" xfId="0" applyNumberFormat="1" applyFont="1" applyFill="1" applyBorder="1" applyAlignment="1" applyProtection="1">
      <alignment vertical="top" wrapText="1"/>
      <protection locked="0"/>
    </xf>
    <xf numFmtId="1" fontId="16" fillId="0" borderId="3" xfId="0" applyNumberFormat="1" applyFont="1" applyBorder="1" applyAlignment="1" applyProtection="1">
      <alignment vertical="top" wrapText="1"/>
      <protection locked="0"/>
    </xf>
    <xf numFmtId="1" fontId="16" fillId="3" borderId="4" xfId="0" applyNumberFormat="1" applyFont="1" applyFill="1" applyBorder="1" applyAlignment="1" applyProtection="1">
      <alignment vertical="center" wrapText="1"/>
      <protection locked="0"/>
    </xf>
    <xf numFmtId="4" fontId="16" fillId="3" borderId="3" xfId="0" applyNumberFormat="1" applyFont="1" applyFill="1" applyBorder="1" applyAlignment="1" applyProtection="1">
      <alignment vertical="center" wrapText="1"/>
      <protection locked="0"/>
    </xf>
    <xf numFmtId="1" fontId="18" fillId="3" borderId="3" xfId="0" applyNumberFormat="1" applyFont="1" applyFill="1" applyBorder="1" applyAlignment="1" applyProtection="1">
      <alignment vertical="center"/>
      <protection locked="0"/>
    </xf>
    <xf numFmtId="4" fontId="16" fillId="0" borderId="3" xfId="0" applyNumberFormat="1" applyFont="1" applyBorder="1" applyAlignment="1" applyProtection="1">
      <alignment vertical="center" wrapText="1"/>
      <protection locked="0"/>
    </xf>
    <xf numFmtId="4" fontId="16" fillId="3" borderId="3" xfId="0" applyNumberFormat="1" applyFont="1" applyFill="1" applyBorder="1" applyAlignment="1" applyProtection="1">
      <alignment vertical="top" wrapText="1"/>
      <protection locked="0"/>
    </xf>
    <xf numFmtId="1" fontId="18" fillId="3" borderId="3" xfId="0" applyNumberFormat="1" applyFont="1" applyFill="1" applyBorder="1" applyAlignment="1" applyProtection="1">
      <alignment vertical="top"/>
      <protection locked="0"/>
    </xf>
    <xf numFmtId="1" fontId="18" fillId="0" borderId="3" xfId="0" applyNumberFormat="1" applyFont="1" applyBorder="1" applyAlignment="1" applyProtection="1">
      <alignment vertical="center"/>
      <protection locked="0"/>
    </xf>
    <xf numFmtId="4" fontId="16" fillId="0" borderId="3" xfId="0" applyNumberFormat="1" applyFont="1" applyBorder="1" applyAlignment="1" applyProtection="1">
      <alignment vertical="top" wrapText="1"/>
      <protection locked="0"/>
    </xf>
    <xf numFmtId="1" fontId="18" fillId="0" borderId="3" xfId="0" applyNumberFormat="1" applyFont="1" applyBorder="1" applyAlignment="1" applyProtection="1">
      <alignment vertical="top"/>
      <protection locked="0"/>
    </xf>
    <xf numFmtId="4" fontId="16" fillId="3" borderId="4" xfId="0" applyNumberFormat="1" applyFont="1" applyFill="1" applyBorder="1" applyAlignment="1" applyProtection="1">
      <alignment vertical="center" wrapText="1"/>
      <protection locked="0"/>
    </xf>
    <xf numFmtId="1" fontId="18" fillId="3" borderId="4" xfId="0" applyNumberFormat="1" applyFont="1" applyFill="1" applyBorder="1" applyAlignment="1" applyProtection="1">
      <alignment vertical="top"/>
      <protection locked="0"/>
    </xf>
    <xf numFmtId="49" fontId="18" fillId="3" borderId="4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left" vertical="top" wrapText="1"/>
      <protection locked="0"/>
    </xf>
    <xf numFmtId="49" fontId="22" fillId="0" borderId="3" xfId="0" applyNumberFormat="1" applyFont="1" applyBorder="1" applyAlignment="1" applyProtection="1">
      <alignment vertical="top" wrapText="1"/>
      <protection locked="0"/>
    </xf>
    <xf numFmtId="49" fontId="18" fillId="0" borderId="3" xfId="0" applyNumberFormat="1" applyFont="1" applyBorder="1" applyAlignment="1" applyProtection="1">
      <alignment vertical="top" wrapText="1"/>
      <protection locked="0"/>
    </xf>
    <xf numFmtId="49" fontId="22" fillId="3" borderId="3" xfId="0" applyNumberFormat="1" applyFont="1" applyFill="1" applyBorder="1" applyAlignment="1" applyProtection="1">
      <alignment vertical="top" wrapText="1"/>
      <protection locked="0"/>
    </xf>
    <xf numFmtId="49" fontId="18" fillId="3" borderId="3" xfId="0" applyNumberFormat="1" applyFont="1" applyFill="1" applyBorder="1" applyAlignment="1" applyProtection="1">
      <alignment vertical="top" wrapText="1"/>
      <protection locked="0"/>
    </xf>
    <xf numFmtId="49" fontId="16" fillId="3" borderId="0" xfId="0" applyNumberFormat="1" applyFont="1" applyFill="1" applyAlignment="1" applyProtection="1">
      <alignment vertical="top" wrapText="1"/>
      <protection locked="0"/>
    </xf>
    <xf numFmtId="49" fontId="15" fillId="3" borderId="0" xfId="0" applyNumberFormat="1" applyFont="1" applyFill="1" applyAlignment="1" applyProtection="1">
      <alignment vertical="top"/>
      <protection locked="0"/>
    </xf>
    <xf numFmtId="4" fontId="14" fillId="3" borderId="0" xfId="0" applyNumberFormat="1" applyFont="1" applyFill="1" applyAlignment="1" applyProtection="1">
      <alignment vertical="top"/>
      <protection locked="0"/>
    </xf>
    <xf numFmtId="167" fontId="14" fillId="3" borderId="0" xfId="0" applyNumberFormat="1" applyFont="1" applyFill="1" applyAlignment="1" applyProtection="1">
      <alignment vertical="top"/>
      <protection locked="0"/>
    </xf>
    <xf numFmtId="4" fontId="15" fillId="3" borderId="0" xfId="0" applyNumberFormat="1" applyFont="1" applyFill="1" applyAlignment="1" applyProtection="1">
      <alignment horizontal="right" vertical="top"/>
      <protection locked="0"/>
    </xf>
    <xf numFmtId="0" fontId="15" fillId="3" borderId="0" xfId="0" applyFont="1" applyFill="1" applyAlignment="1" applyProtection="1">
      <alignment vertical="top"/>
      <protection locked="0"/>
    </xf>
    <xf numFmtId="4" fontId="16" fillId="3" borderId="5" xfId="0" applyNumberFormat="1" applyFont="1" applyFill="1" applyBorder="1" applyAlignment="1" applyProtection="1">
      <alignment vertical="top" wrapText="1"/>
      <protection locked="0"/>
    </xf>
    <xf numFmtId="4" fontId="16" fillId="3" borderId="3" xfId="0" applyNumberFormat="1" applyFont="1" applyFill="1" applyBorder="1" applyAlignment="1" applyProtection="1">
      <alignment vertical="top"/>
      <protection locked="0"/>
    </xf>
    <xf numFmtId="4" fontId="16" fillId="0" borderId="3" xfId="0" applyNumberFormat="1" applyFont="1" applyBorder="1" applyAlignment="1" applyProtection="1">
      <alignment vertical="top"/>
      <protection locked="0"/>
    </xf>
    <xf numFmtId="4" fontId="18" fillId="0" borderId="3" xfId="0" applyNumberFormat="1" applyFont="1" applyBorder="1" applyAlignment="1" applyProtection="1">
      <alignment vertical="top"/>
      <protection locked="0"/>
    </xf>
    <xf numFmtId="4" fontId="18" fillId="0" borderId="3" xfId="0" applyNumberFormat="1" applyFont="1" applyBorder="1" applyAlignment="1" applyProtection="1">
      <alignment vertical="top" wrapText="1"/>
      <protection locked="0"/>
    </xf>
    <xf numFmtId="3" fontId="16" fillId="3" borderId="3" xfId="0" applyNumberFormat="1" applyFont="1" applyFill="1" applyBorder="1" applyAlignment="1" applyProtection="1">
      <alignment vertical="top" wrapText="1"/>
      <protection locked="0"/>
    </xf>
    <xf numFmtId="4" fontId="16" fillId="3" borderId="4" xfId="0" applyNumberFormat="1" applyFont="1" applyFill="1" applyBorder="1" applyAlignment="1" applyProtection="1">
      <alignment vertical="top" wrapText="1"/>
      <protection locked="0"/>
    </xf>
    <xf numFmtId="0" fontId="28" fillId="3" borderId="0" xfId="0" applyFont="1" applyFill="1" applyAlignment="1" applyProtection="1">
      <alignment vertical="top"/>
      <protection locked="0"/>
    </xf>
    <xf numFmtId="49" fontId="28" fillId="3" borderId="0" xfId="0" applyNumberFormat="1" applyFont="1" applyFill="1" applyAlignment="1" applyProtection="1">
      <alignment vertical="top"/>
      <protection locked="0"/>
    </xf>
    <xf numFmtId="4" fontId="24" fillId="3" borderId="0" xfId="0" applyNumberFormat="1" applyFont="1" applyFill="1" applyAlignment="1" applyProtection="1">
      <alignment vertical="top"/>
      <protection locked="0"/>
    </xf>
    <xf numFmtId="167" fontId="24" fillId="3" borderId="0" xfId="0" applyNumberFormat="1" applyFont="1" applyFill="1" applyAlignment="1" applyProtection="1">
      <alignment vertical="top"/>
      <protection locked="0"/>
    </xf>
    <xf numFmtId="4" fontId="28" fillId="3" borderId="0" xfId="0" applyNumberFormat="1" applyFont="1" applyFill="1" applyAlignment="1" applyProtection="1">
      <alignment horizontal="right" vertical="top"/>
      <protection locked="0"/>
    </xf>
    <xf numFmtId="4" fontId="18" fillId="3" borderId="5" xfId="0" applyNumberFormat="1" applyFont="1" applyFill="1" applyBorder="1" applyAlignment="1" applyProtection="1">
      <alignment vertical="top"/>
      <protection locked="0"/>
    </xf>
    <xf numFmtId="4" fontId="18" fillId="0" borderId="5" xfId="0" applyNumberFormat="1" applyFont="1" applyBorder="1" applyAlignment="1" applyProtection="1">
      <alignment vertical="top"/>
      <protection locked="0"/>
    </xf>
    <xf numFmtId="1" fontId="18" fillId="3" borderId="5" xfId="0" applyNumberFormat="1" applyFont="1" applyFill="1" applyBorder="1" applyAlignment="1" applyProtection="1">
      <alignment vertical="center"/>
      <protection locked="0"/>
    </xf>
    <xf numFmtId="1" fontId="16" fillId="0" borderId="3" xfId="0" applyNumberFormat="1" applyFont="1" applyBorder="1" applyAlignment="1" applyProtection="1">
      <alignment vertical="top"/>
      <protection locked="0"/>
    </xf>
    <xf numFmtId="4" fontId="14" fillId="3" borderId="0" xfId="0" applyNumberFormat="1" applyFont="1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4" fontId="15" fillId="3" borderId="5" xfId="0" applyNumberFormat="1" applyFont="1" applyFill="1" applyBorder="1" applyAlignment="1" applyProtection="1">
      <alignment vertical="top"/>
      <protection locked="0"/>
    </xf>
    <xf numFmtId="4" fontId="15" fillId="6" borderId="5" xfId="0" applyNumberFormat="1" applyFont="1" applyFill="1" applyBorder="1" applyAlignment="1" applyProtection="1">
      <alignment vertical="top"/>
      <protection locked="0"/>
    </xf>
    <xf numFmtId="4" fontId="15" fillId="3" borderId="7" xfId="0" applyNumberFormat="1" applyFont="1" applyFill="1" applyBorder="1" applyAlignment="1" applyProtection="1">
      <alignment vertical="top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49" fontId="14" fillId="6" borderId="0" xfId="0" applyNumberFormat="1" applyFont="1" applyFill="1" applyAlignment="1" applyProtection="1">
      <alignment vertical="center"/>
      <protection locked="0"/>
    </xf>
    <xf numFmtId="3" fontId="14" fillId="6" borderId="5" xfId="0" applyNumberFormat="1" applyFont="1" applyFill="1" applyBorder="1" applyAlignment="1" applyProtection="1">
      <alignment horizontal="left" vertical="center"/>
      <protection locked="0"/>
    </xf>
    <xf numFmtId="3" fontId="14" fillId="3" borderId="7" xfId="0" applyNumberFormat="1" applyFont="1" applyFill="1" applyBorder="1" applyAlignment="1" applyProtection="1">
      <alignment horizontal="left" vertical="center"/>
      <protection locked="0"/>
    </xf>
    <xf numFmtId="3" fontId="16" fillId="3" borderId="3" xfId="0" applyNumberFormat="1" applyFont="1" applyFill="1" applyBorder="1" applyAlignment="1" applyProtection="1">
      <alignment vertical="top"/>
      <protection locked="0"/>
    </xf>
    <xf numFmtId="4" fontId="16" fillId="3" borderId="5" xfId="0" applyNumberFormat="1" applyFont="1" applyFill="1" applyBorder="1" applyAlignment="1" applyProtection="1">
      <alignment horizontal="right" vertical="top"/>
      <protection locked="0"/>
    </xf>
    <xf numFmtId="4" fontId="16" fillId="3" borderId="4" xfId="0" applyNumberFormat="1" applyFont="1" applyFill="1" applyBorder="1" applyAlignment="1" applyProtection="1">
      <alignment horizontal="center" vertical="top" wrapText="1"/>
      <protection locked="0"/>
    </xf>
    <xf numFmtId="4" fontId="44" fillId="3" borderId="7" xfId="0" applyNumberFormat="1" applyFont="1" applyFill="1" applyBorder="1" applyAlignment="1" applyProtection="1">
      <alignment horizontal="center" vertical="top" wrapText="1"/>
      <protection locked="0"/>
    </xf>
    <xf numFmtId="4" fontId="14" fillId="3" borderId="2" xfId="0" applyNumberFormat="1" applyFont="1" applyFill="1" applyBorder="1" applyAlignment="1" applyProtection="1">
      <alignment horizontal="center" vertical="center"/>
      <protection locked="0"/>
    </xf>
    <xf numFmtId="4" fontId="14" fillId="3" borderId="6" xfId="0" applyNumberFormat="1" applyFont="1" applyFill="1" applyBorder="1" applyAlignment="1" applyProtection="1">
      <alignment horizontal="center" vertical="center"/>
      <protection locked="0"/>
    </xf>
    <xf numFmtId="4" fontId="16" fillId="0" borderId="3" xfId="0" applyNumberFormat="1" applyFont="1" applyBorder="1" applyAlignment="1">
      <alignment horizontal="center" vertical="top" wrapText="1"/>
    </xf>
    <xf numFmtId="4" fontId="16" fillId="0" borderId="24" xfId="0" applyNumberFormat="1" applyFont="1" applyBorder="1" applyAlignment="1" applyProtection="1">
      <alignment horizontal="center" vertical="center" wrapText="1"/>
      <protection locked="0"/>
    </xf>
    <xf numFmtId="4" fontId="16" fillId="0" borderId="25" xfId="0" applyNumberFormat="1" applyFont="1" applyBorder="1" applyAlignment="1" applyProtection="1">
      <alignment vertical="center" wrapText="1"/>
      <protection locked="0"/>
    </xf>
    <xf numFmtId="4" fontId="16" fillId="0" borderId="5" xfId="0" applyNumberFormat="1" applyFont="1" applyBorder="1" applyAlignment="1" applyProtection="1">
      <alignment vertical="top" wrapText="1"/>
      <protection locked="0"/>
    </xf>
    <xf numFmtId="3" fontId="16" fillId="0" borderId="3" xfId="0" applyNumberFormat="1" applyFont="1" applyBorder="1" applyAlignment="1" applyProtection="1">
      <alignment vertical="top" wrapText="1"/>
      <protection locked="0"/>
    </xf>
    <xf numFmtId="3" fontId="16" fillId="3" borderId="4" xfId="0" applyNumberFormat="1" applyFont="1" applyFill="1" applyBorder="1" applyAlignment="1" applyProtection="1">
      <alignment vertical="top" wrapText="1"/>
      <protection locked="0"/>
    </xf>
    <xf numFmtId="49" fontId="18" fillId="3" borderId="0" xfId="0" applyNumberFormat="1" applyFont="1" applyFill="1" applyAlignment="1" applyProtection="1">
      <alignment vertical="top" wrapText="1"/>
      <protection locked="0"/>
    </xf>
    <xf numFmtId="49" fontId="16" fillId="3" borderId="0" xfId="0" applyNumberFormat="1" applyFont="1" applyFill="1" applyAlignment="1" applyProtection="1">
      <alignment horizontal="right" vertical="top"/>
      <protection locked="0"/>
    </xf>
    <xf numFmtId="0" fontId="18" fillId="3" borderId="0" xfId="0" applyFont="1" applyFill="1" applyAlignment="1" applyProtection="1">
      <alignment horizontal="right" vertical="top"/>
      <protection locked="0"/>
    </xf>
    <xf numFmtId="1" fontId="18" fillId="3" borderId="0" xfId="0" applyNumberFormat="1" applyFont="1" applyFill="1" applyAlignment="1" applyProtection="1">
      <alignment vertical="top" wrapText="1"/>
      <protection locked="0"/>
    </xf>
    <xf numFmtId="4" fontId="18" fillId="3" borderId="0" xfId="0" applyNumberFormat="1" applyFont="1" applyFill="1" applyAlignment="1" applyProtection="1">
      <alignment vertical="top" wrapText="1"/>
      <protection locked="0"/>
    </xf>
    <xf numFmtId="4" fontId="18" fillId="3" borderId="0" xfId="0" applyNumberFormat="1" applyFont="1" applyFill="1" applyAlignment="1" applyProtection="1">
      <alignment horizontal="right" vertical="top"/>
      <protection locked="0"/>
    </xf>
    <xf numFmtId="1" fontId="15" fillId="3" borderId="3" xfId="0" applyNumberFormat="1" applyFont="1" applyFill="1" applyBorder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/>
      <protection locked="0"/>
    </xf>
    <xf numFmtId="4" fontId="16" fillId="0" borderId="26" xfId="0" applyNumberFormat="1" applyFont="1" applyBorder="1" applyAlignment="1" applyProtection="1">
      <alignment horizontal="center" vertical="center" wrapText="1"/>
      <protection locked="0"/>
    </xf>
    <xf numFmtId="2" fontId="16" fillId="0" borderId="13" xfId="0" applyNumberFormat="1" applyFont="1" applyBorder="1" applyAlignment="1" applyProtection="1">
      <alignment vertical="top"/>
      <protection locked="0"/>
    </xf>
    <xf numFmtId="1" fontId="14" fillId="3" borderId="0" xfId="0" applyNumberFormat="1" applyFont="1" applyFill="1" applyAlignment="1" applyProtection="1">
      <alignment vertical="top"/>
      <protection locked="0"/>
    </xf>
    <xf numFmtId="1" fontId="16" fillId="0" borderId="13" xfId="0" applyNumberFormat="1" applyFont="1" applyBorder="1" applyAlignment="1" applyProtection="1">
      <alignment vertical="top"/>
      <protection locked="0"/>
    </xf>
    <xf numFmtId="2" fontId="16" fillId="3" borderId="3" xfId="0" applyNumberFormat="1" applyFont="1" applyFill="1" applyBorder="1" applyAlignment="1" applyProtection="1">
      <alignment vertical="top"/>
      <protection locked="0"/>
    </xf>
    <xf numFmtId="2" fontId="16" fillId="0" borderId="3" xfId="0" applyNumberFormat="1" applyFont="1" applyBorder="1" applyAlignment="1" applyProtection="1">
      <alignment vertical="top" wrapText="1"/>
      <protection locked="0"/>
    </xf>
    <xf numFmtId="2" fontId="16" fillId="0" borderId="3" xfId="0" applyNumberFormat="1" applyFont="1" applyBorder="1" applyAlignment="1" applyProtection="1">
      <alignment vertical="top"/>
      <protection locked="0"/>
    </xf>
    <xf numFmtId="1" fontId="16" fillId="3" borderId="4" xfId="0" applyNumberFormat="1" applyFont="1" applyFill="1" applyBorder="1" applyAlignment="1" applyProtection="1">
      <alignment vertical="top" wrapText="1"/>
      <protection locked="0"/>
    </xf>
    <xf numFmtId="2" fontId="16" fillId="3" borderId="4" xfId="0" applyNumberFormat="1" applyFont="1" applyFill="1" applyBorder="1" applyAlignment="1" applyProtection="1">
      <alignment vertical="top"/>
      <protection locked="0"/>
    </xf>
    <xf numFmtId="2" fontId="14" fillId="0" borderId="9" xfId="0" applyNumberFormat="1" applyFont="1" applyBorder="1" applyAlignment="1" applyProtection="1">
      <alignment vertical="center"/>
      <protection locked="0"/>
    </xf>
    <xf numFmtId="2" fontId="14" fillId="0" borderId="8" xfId="0" applyNumberFormat="1" applyFont="1" applyBorder="1" applyAlignment="1" applyProtection="1">
      <alignment vertical="center"/>
      <protection locked="0"/>
    </xf>
    <xf numFmtId="2" fontId="14" fillId="0" borderId="10" xfId="0" applyNumberFormat="1" applyFont="1" applyBorder="1" applyAlignment="1" applyProtection="1">
      <alignment vertical="center"/>
      <protection locked="0"/>
    </xf>
    <xf numFmtId="4" fontId="16" fillId="0" borderId="27" xfId="0" applyNumberFormat="1" applyFont="1" applyBorder="1" applyAlignment="1" applyProtection="1">
      <alignment vertical="center" wrapText="1"/>
      <protection locked="0"/>
    </xf>
    <xf numFmtId="167" fontId="16" fillId="3" borderId="3" xfId="0" applyNumberFormat="1" applyFont="1" applyFill="1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2" fontId="15" fillId="6" borderId="3" xfId="0" applyNumberFormat="1" applyFont="1" applyFill="1" applyBorder="1" applyAlignment="1">
      <alignment vertical="center"/>
    </xf>
    <xf numFmtId="4" fontId="15" fillId="4" borderId="3" xfId="0" applyNumberFormat="1" applyFont="1" applyFill="1" applyBorder="1" applyAlignment="1">
      <alignment vertical="center"/>
    </xf>
    <xf numFmtId="4" fontId="18" fillId="0" borderId="0" xfId="0" applyNumberFormat="1" applyFont="1" applyAlignment="1" applyProtection="1">
      <alignment vertical="center" wrapText="1"/>
      <protection locked="0"/>
    </xf>
    <xf numFmtId="4" fontId="16" fillId="3" borderId="7" xfId="0" applyNumberFormat="1" applyFont="1" applyFill="1" applyBorder="1" applyAlignment="1" applyProtection="1">
      <alignment vertical="center" wrapText="1"/>
      <protection locked="0"/>
    </xf>
    <xf numFmtId="4" fontId="16" fillId="0" borderId="0" xfId="0" applyNumberFormat="1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15" fillId="2" borderId="15" xfId="0" applyFont="1" applyFill="1" applyBorder="1" applyAlignment="1">
      <alignment horizontal="center" vertical="center" wrapText="1"/>
    </xf>
    <xf numFmtId="49" fontId="16" fillId="3" borderId="13" xfId="0" applyNumberFormat="1" applyFont="1" applyFill="1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/>
      <protection locked="0"/>
    </xf>
    <xf numFmtId="2" fontId="0" fillId="0" borderId="0" xfId="0" applyNumberFormat="1" applyAlignment="1">
      <alignment horizontal="left"/>
    </xf>
    <xf numFmtId="49" fontId="38" fillId="3" borderId="17" xfId="0" applyNumberFormat="1" applyFont="1" applyFill="1" applyBorder="1" applyAlignment="1">
      <alignment horizontal="center" vertical="center" wrapText="1"/>
    </xf>
    <xf numFmtId="49" fontId="16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45" fillId="11" borderId="19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right"/>
    </xf>
    <xf numFmtId="0" fontId="15" fillId="0" borderId="15" xfId="0" applyFont="1" applyBorder="1" applyAlignment="1">
      <alignment horizontal="center" vertical="center" wrapText="1"/>
    </xf>
    <xf numFmtId="167" fontId="16" fillId="0" borderId="28" xfId="0" applyNumberFormat="1" applyFont="1" applyBorder="1" applyAlignment="1" applyProtection="1">
      <alignment horizontal="right" vertical="center" wrapText="1"/>
      <protection locked="0"/>
    </xf>
    <xf numFmtId="165" fontId="18" fillId="2" borderId="5" xfId="0" applyNumberFormat="1" applyFont="1" applyFill="1" applyBorder="1" applyAlignment="1">
      <alignment horizontal="right" vertical="center"/>
    </xf>
    <xf numFmtId="170" fontId="18" fillId="2" borderId="5" xfId="0" applyNumberFormat="1" applyFont="1" applyFill="1" applyBorder="1" applyAlignment="1">
      <alignment horizontal="right" vertical="center"/>
    </xf>
    <xf numFmtId="171" fontId="18" fillId="2" borderId="5" xfId="0" applyNumberFormat="1" applyFont="1" applyFill="1" applyBorder="1" applyAlignment="1">
      <alignment horizontal="right" vertical="top"/>
    </xf>
    <xf numFmtId="168" fontId="18" fillId="2" borderId="3" xfId="0" applyNumberFormat="1" applyFont="1" applyFill="1" applyBorder="1" applyAlignment="1">
      <alignment horizontal="right" vertical="top"/>
    </xf>
    <xf numFmtId="3" fontId="15" fillId="4" borderId="5" xfId="0" applyNumberFormat="1" applyFont="1" applyFill="1" applyBorder="1" applyAlignment="1" applyProtection="1">
      <alignment horizontal="center" vertical="center"/>
      <protection locked="0"/>
    </xf>
    <xf numFmtId="3" fontId="15" fillId="4" borderId="7" xfId="0" applyNumberFormat="1" applyFont="1" applyFill="1" applyBorder="1" applyAlignment="1" applyProtection="1">
      <alignment horizontal="center" vertical="center"/>
      <protection locked="0"/>
    </xf>
    <xf numFmtId="1" fontId="14" fillId="4" borderId="0" xfId="0" applyNumberFormat="1" applyFont="1" applyFill="1" applyAlignment="1">
      <alignment horizontal="center" vertical="center"/>
    </xf>
    <xf numFmtId="1" fontId="14" fillId="0" borderId="5" xfId="0" applyNumberFormat="1" applyFont="1" applyBorder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vertical="center"/>
    </xf>
    <xf numFmtId="1" fontId="14" fillId="4" borderId="7" xfId="0" applyNumberFormat="1" applyFont="1" applyFill="1" applyBorder="1" applyAlignment="1">
      <alignment horizontal="center" vertical="center"/>
    </xf>
    <xf numFmtId="1" fontId="15" fillId="3" borderId="2" xfId="0" applyNumberFormat="1" applyFont="1" applyFill="1" applyBorder="1" applyAlignment="1" applyProtection="1">
      <alignment horizontal="center" vertical="center"/>
      <protection locked="0"/>
    </xf>
    <xf numFmtId="1" fontId="15" fillId="3" borderId="0" xfId="0" applyNumberFormat="1" applyFont="1" applyFill="1" applyAlignment="1" applyProtection="1">
      <alignment vertical="center"/>
      <protection locked="0"/>
    </xf>
    <xf numFmtId="1" fontId="15" fillId="3" borderId="5" xfId="0" applyNumberFormat="1" applyFont="1" applyFill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 applyProtection="1">
      <alignment vertical="center"/>
      <protection locked="0"/>
    </xf>
    <xf numFmtId="1" fontId="14" fillId="0" borderId="0" xfId="0" applyNumberFormat="1" applyFont="1" applyAlignment="1" applyProtection="1">
      <alignment vertical="center"/>
      <protection locked="0"/>
    </xf>
    <xf numFmtId="1" fontId="14" fillId="0" borderId="5" xfId="0" applyNumberFormat="1" applyFont="1" applyBorder="1" applyAlignment="1" applyProtection="1">
      <alignment vertical="center"/>
      <protection locked="0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1" fontId="14" fillId="0" borderId="5" xfId="0" applyNumberFormat="1" applyFont="1" applyBorder="1" applyAlignment="1" applyProtection="1">
      <alignment horizontal="left" vertical="center"/>
      <protection locked="0"/>
    </xf>
    <xf numFmtId="1" fontId="14" fillId="3" borderId="2" xfId="0" applyNumberFormat="1" applyFont="1" applyFill="1" applyBorder="1" applyAlignment="1" applyProtection="1">
      <alignment horizontal="center" vertical="center"/>
      <protection locked="0"/>
    </xf>
    <xf numFmtId="1" fontId="14" fillId="3" borderId="5" xfId="0" applyNumberFormat="1" applyFont="1" applyFill="1" applyBorder="1" applyAlignment="1" applyProtection="1">
      <alignment horizontal="left" vertical="center"/>
      <protection locked="0"/>
    </xf>
    <xf numFmtId="1" fontId="14" fillId="3" borderId="6" xfId="0" applyNumberFormat="1" applyFont="1" applyFill="1" applyBorder="1" applyAlignment="1" applyProtection="1">
      <alignment horizontal="center" vertical="center"/>
      <protection locked="0"/>
    </xf>
    <xf numFmtId="1" fontId="14" fillId="3" borderId="1" xfId="0" applyNumberFormat="1" applyFont="1" applyFill="1" applyBorder="1" applyAlignment="1" applyProtection="1">
      <alignment vertical="center"/>
      <protection locked="0"/>
    </xf>
    <xf numFmtId="1" fontId="14" fillId="3" borderId="7" xfId="0" applyNumberFormat="1" applyFont="1" applyFill="1" applyBorder="1" applyAlignment="1" applyProtection="1">
      <alignment horizontal="left" vertical="center"/>
      <protection locked="0"/>
    </xf>
    <xf numFmtId="1" fontId="14" fillId="4" borderId="3" xfId="0" applyNumberFormat="1" applyFont="1" applyFill="1" applyBorder="1" applyAlignment="1">
      <alignment vertical="center"/>
    </xf>
    <xf numFmtId="1" fontId="14" fillId="0" borderId="2" xfId="0" applyNumberFormat="1" applyFont="1" applyBorder="1" applyAlignment="1">
      <alignment vertical="center"/>
    </xf>
    <xf numFmtId="1" fontId="14" fillId="4" borderId="2" xfId="0" applyNumberFormat="1" applyFont="1" applyFill="1" applyBorder="1" applyAlignment="1">
      <alignment vertical="center"/>
    </xf>
    <xf numFmtId="1" fontId="14" fillId="4" borderId="6" xfId="0" applyNumberFormat="1" applyFont="1" applyFill="1" applyBorder="1" applyAlignment="1">
      <alignment vertical="center"/>
    </xf>
    <xf numFmtId="49" fontId="14" fillId="3" borderId="2" xfId="0" applyNumberFormat="1" applyFont="1" applyFill="1" applyBorder="1" applyAlignment="1" applyProtection="1">
      <alignment vertical="top"/>
      <protection locked="0"/>
    </xf>
    <xf numFmtId="49" fontId="14" fillId="2" borderId="5" xfId="0" applyNumberFormat="1" applyFont="1" applyFill="1" applyBorder="1" applyAlignment="1">
      <alignment vertical="top" wrapText="1"/>
    </xf>
    <xf numFmtId="0" fontId="18" fillId="10" borderId="2" xfId="0" applyFont="1" applyFill="1" applyBorder="1" applyAlignment="1">
      <alignment vertical="top" wrapText="1"/>
    </xf>
    <xf numFmtId="0" fontId="18" fillId="9" borderId="2" xfId="0" applyFont="1" applyFill="1" applyBorder="1" applyAlignment="1">
      <alignment vertical="top" wrapText="1"/>
    </xf>
    <xf numFmtId="3" fontId="14" fillId="3" borderId="0" xfId="0" applyNumberFormat="1" applyFont="1" applyFill="1" applyAlignment="1" applyProtection="1">
      <alignment horizontal="center" vertical="center"/>
      <protection locked="0"/>
    </xf>
    <xf numFmtId="0" fontId="18" fillId="9" borderId="6" xfId="0" applyFont="1" applyFill="1" applyBorder="1" applyAlignment="1">
      <alignment vertical="top" wrapText="1"/>
    </xf>
    <xf numFmtId="3" fontId="14" fillId="3" borderId="1" xfId="0" applyNumberFormat="1" applyFont="1" applyFill="1" applyBorder="1" applyAlignment="1" applyProtection="1">
      <alignment horizontal="center" vertical="center"/>
      <protection locked="0"/>
    </xf>
    <xf numFmtId="49" fontId="14" fillId="2" borderId="2" xfId="0" applyNumberFormat="1" applyFont="1" applyFill="1" applyBorder="1" applyAlignment="1">
      <alignment vertical="top" wrapText="1"/>
    </xf>
    <xf numFmtId="49" fontId="14" fillId="2" borderId="6" xfId="0" applyNumberFormat="1" applyFont="1" applyFill="1" applyBorder="1" applyAlignment="1">
      <alignment vertical="top" wrapText="1"/>
    </xf>
    <xf numFmtId="167" fontId="16" fillId="3" borderId="2" xfId="0" applyNumberFormat="1" applyFont="1" applyFill="1" applyBorder="1" applyAlignment="1" applyProtection="1">
      <alignment vertical="top" wrapText="1"/>
      <protection locked="0"/>
    </xf>
    <xf numFmtId="167" fontId="16" fillId="3" borderId="6" xfId="0" applyNumberFormat="1" applyFont="1" applyFill="1" applyBorder="1" applyAlignment="1" applyProtection="1">
      <alignment vertical="top" wrapText="1"/>
      <protection locked="0"/>
    </xf>
    <xf numFmtId="4" fontId="16" fillId="3" borderId="2" xfId="0" applyNumberFormat="1" applyFont="1" applyFill="1" applyBorder="1" applyAlignment="1" applyProtection="1">
      <alignment vertical="top"/>
      <protection locked="0"/>
    </xf>
    <xf numFmtId="4" fontId="16" fillId="3" borderId="6" xfId="0" applyNumberFormat="1" applyFont="1" applyFill="1" applyBorder="1" applyAlignment="1" applyProtection="1">
      <alignment vertical="top"/>
      <protection locked="0"/>
    </xf>
    <xf numFmtId="2" fontId="18" fillId="2" borderId="2" xfId="0" applyNumberFormat="1" applyFont="1" applyFill="1" applyBorder="1" applyAlignment="1">
      <alignment horizontal="right" vertical="center"/>
    </xf>
    <xf numFmtId="2" fontId="18" fillId="2" borderId="6" xfId="0" applyNumberFormat="1" applyFont="1" applyFill="1" applyBorder="1" applyAlignment="1">
      <alignment horizontal="right" vertical="center"/>
    </xf>
    <xf numFmtId="3" fontId="16" fillId="4" borderId="2" xfId="0" applyNumberFormat="1" applyFont="1" applyFill="1" applyBorder="1" applyAlignment="1">
      <alignment horizontal="right" vertical="top"/>
    </xf>
    <xf numFmtId="3" fontId="16" fillId="4" borderId="6" xfId="0" applyNumberFormat="1" applyFont="1" applyFill="1" applyBorder="1" applyAlignment="1">
      <alignment horizontal="right" vertical="top"/>
    </xf>
    <xf numFmtId="3" fontId="14" fillId="4" borderId="6" xfId="0" applyNumberFormat="1" applyFont="1" applyFill="1" applyBorder="1" applyAlignment="1">
      <alignment vertical="center"/>
    </xf>
    <xf numFmtId="4" fontId="15" fillId="4" borderId="6" xfId="0" applyNumberFormat="1" applyFont="1" applyFill="1" applyBorder="1" applyAlignment="1">
      <alignment vertical="center"/>
    </xf>
    <xf numFmtId="0" fontId="18" fillId="2" borderId="4" xfId="0" applyFont="1" applyFill="1" applyBorder="1" applyAlignment="1">
      <alignment vertical="top" wrapText="1"/>
    </xf>
    <xf numFmtId="49" fontId="18" fillId="2" borderId="7" xfId="0" applyNumberFormat="1" applyFont="1" applyFill="1" applyBorder="1" applyAlignment="1">
      <alignment vertical="top" wrapText="1"/>
    </xf>
    <xf numFmtId="2" fontId="14" fillId="0" borderId="0" xfId="0" applyNumberFormat="1" applyFont="1"/>
    <xf numFmtId="49" fontId="18" fillId="2" borderId="3" xfId="0" applyNumberFormat="1" applyFont="1" applyFill="1" applyBorder="1" applyAlignment="1">
      <alignment horizontal="left" vertical="center" wrapText="1"/>
    </xf>
    <xf numFmtId="169" fontId="14" fillId="3" borderId="0" xfId="0" applyNumberFormat="1" applyFont="1" applyFill="1" applyAlignment="1">
      <alignment horizontal="right" vertical="top"/>
    </xf>
    <xf numFmtId="3" fontId="16" fillId="4" borderId="4" xfId="0" applyNumberFormat="1" applyFont="1" applyFill="1" applyBorder="1" applyAlignment="1">
      <alignment horizontal="right" vertical="top"/>
    </xf>
    <xf numFmtId="49" fontId="32" fillId="0" borderId="0" xfId="0" applyNumberFormat="1" applyFont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49" fontId="32" fillId="0" borderId="0" xfId="0" applyNumberFormat="1" applyFont="1" applyAlignment="1">
      <alignment vertical="center" wrapText="1"/>
    </xf>
    <xf numFmtId="4" fontId="33" fillId="0" borderId="0" xfId="0" applyNumberFormat="1" applyFont="1" applyAlignment="1">
      <alignment vertical="center" wrapText="1"/>
    </xf>
    <xf numFmtId="4" fontId="32" fillId="0" borderId="0" xfId="0" applyNumberFormat="1" applyFont="1" applyAlignment="1">
      <alignment vertical="center"/>
    </xf>
    <xf numFmtId="2" fontId="32" fillId="0" borderId="0" xfId="0" applyNumberFormat="1" applyFont="1" applyAlignment="1">
      <alignment horizontal="right" vertical="center"/>
    </xf>
    <xf numFmtId="49" fontId="34" fillId="0" borderId="0" xfId="0" applyNumberFormat="1" applyFont="1" applyAlignment="1" applyProtection="1">
      <alignment vertical="center"/>
      <protection locked="0"/>
    </xf>
    <xf numFmtId="0" fontId="32" fillId="0" borderId="0" xfId="0" applyFont="1" applyAlignment="1">
      <alignment vertical="center" wrapText="1"/>
    </xf>
    <xf numFmtId="0" fontId="1" fillId="3" borderId="15" xfId="0" applyFont="1" applyFill="1" applyBorder="1" applyAlignment="1" applyProtection="1">
      <alignment horizontal="left"/>
      <protection locked="0"/>
    </xf>
    <xf numFmtId="0" fontId="1" fillId="2" borderId="15" xfId="0" applyFont="1" applyFill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1" fontId="0" fillId="0" borderId="0" xfId="0" applyNumberFormat="1" applyAlignment="1">
      <alignment horizontal="left"/>
    </xf>
    <xf numFmtId="1" fontId="16" fillId="2" borderId="13" xfId="0" applyNumberFormat="1" applyFont="1" applyFill="1" applyBorder="1" applyAlignment="1">
      <alignment horizontal="center" vertical="center" wrapText="1"/>
    </xf>
    <xf numFmtId="1" fontId="0" fillId="2" borderId="15" xfId="0" applyNumberFormat="1" applyFill="1" applyBorder="1" applyAlignment="1" applyProtection="1">
      <alignment horizontal="left"/>
      <protection locked="0"/>
    </xf>
    <xf numFmtId="1" fontId="1" fillId="2" borderId="15" xfId="0" applyNumberFormat="1" applyFont="1" applyFill="1" applyBorder="1" applyAlignment="1" applyProtection="1">
      <alignment horizontal="left"/>
      <protection locked="0"/>
    </xf>
    <xf numFmtId="2" fontId="15" fillId="4" borderId="15" xfId="0" applyNumberFormat="1" applyFont="1" applyFill="1" applyBorder="1" applyAlignment="1">
      <alignment horizontal="center" vertical="center" wrapText="1"/>
    </xf>
    <xf numFmtId="2" fontId="0" fillId="4" borderId="15" xfId="0" applyNumberFormat="1" applyFill="1" applyBorder="1" applyAlignment="1" applyProtection="1">
      <alignment horizontal="left"/>
      <protection locked="0"/>
    </xf>
    <xf numFmtId="2" fontId="1" fillId="4" borderId="15" xfId="0" applyNumberFormat="1" applyFont="1" applyFill="1" applyBorder="1" applyAlignment="1" applyProtection="1">
      <alignment horizontal="left"/>
      <protection locked="0"/>
    </xf>
    <xf numFmtId="169" fontId="14" fillId="2" borderId="4" xfId="0" applyNumberFormat="1" applyFont="1" applyFill="1" applyBorder="1" applyAlignment="1">
      <alignment vertical="top" wrapText="1"/>
    </xf>
    <xf numFmtId="2" fontId="18" fillId="3" borderId="3" xfId="0" applyNumberFormat="1" applyFont="1" applyFill="1" applyBorder="1" applyAlignment="1" applyProtection="1">
      <alignment vertical="top"/>
      <protection locked="0"/>
    </xf>
    <xf numFmtId="2" fontId="18" fillId="3" borderId="4" xfId="0" applyNumberFormat="1" applyFont="1" applyFill="1" applyBorder="1" applyAlignment="1" applyProtection="1">
      <alignment vertical="top"/>
      <protection locked="0"/>
    </xf>
    <xf numFmtId="0" fontId="37" fillId="0" borderId="3" xfId="0" applyFont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>
      <alignment horizontal="center" vertical="center" wrapText="1"/>
    </xf>
    <xf numFmtId="4" fontId="16" fillId="4" borderId="15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4" fontId="16" fillId="4" borderId="20" xfId="0" applyNumberFormat="1" applyFont="1" applyFill="1" applyBorder="1" applyAlignment="1">
      <alignment horizontal="center" vertical="center" wrapText="1"/>
    </xf>
    <xf numFmtId="4" fontId="38" fillId="4" borderId="15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 wrapText="1"/>
    </xf>
    <xf numFmtId="49" fontId="16" fillId="3" borderId="15" xfId="0" applyNumberFormat="1" applyFont="1" applyFill="1" applyBorder="1" applyAlignment="1">
      <alignment horizontal="center" vertical="center" wrapText="1"/>
    </xf>
    <xf numFmtId="49" fontId="38" fillId="3" borderId="15" xfId="0" applyNumberFormat="1" applyFont="1" applyFill="1" applyBorder="1" applyAlignment="1">
      <alignment horizontal="center" vertical="center" wrapText="1"/>
    </xf>
    <xf numFmtId="49" fontId="16" fillId="2" borderId="15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right" vertical="center" wrapText="1"/>
    </xf>
    <xf numFmtId="0" fontId="16" fillId="3" borderId="4" xfId="0" applyFont="1" applyFill="1" applyBorder="1" applyAlignment="1">
      <alignment horizontal="right" vertical="center" wrapText="1"/>
    </xf>
    <xf numFmtId="167" fontId="16" fillId="3" borderId="15" xfId="0" applyNumberFormat="1" applyFont="1" applyFill="1" applyBorder="1" applyAlignment="1">
      <alignment horizontal="center" vertical="center" wrapText="1"/>
    </xf>
    <xf numFmtId="4" fontId="16" fillId="3" borderId="15" xfId="0" applyNumberFormat="1" applyFont="1" applyFill="1" applyBorder="1" applyAlignment="1" applyProtection="1">
      <alignment horizontal="center" vertical="center" wrapText="1"/>
      <protection locked="0"/>
    </xf>
    <xf numFmtId="4" fontId="16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1" fontId="16" fillId="3" borderId="15" xfId="0" applyNumberFormat="1" applyFont="1" applyFill="1" applyBorder="1" applyAlignment="1">
      <alignment horizontal="center" vertical="center" wrapText="1"/>
    </xf>
    <xf numFmtId="4" fontId="16" fillId="3" borderId="15" xfId="0" applyNumberFormat="1" applyFont="1" applyFill="1" applyBorder="1" applyAlignment="1">
      <alignment horizontal="center" vertical="center" wrapText="1"/>
    </xf>
    <xf numFmtId="4" fontId="16" fillId="3" borderId="13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6" fillId="2" borderId="15" xfId="0" applyFont="1" applyFill="1" applyBorder="1" applyAlignment="1">
      <alignment horizontal="right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" fontId="16" fillId="3" borderId="9" xfId="0" applyNumberFormat="1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" fontId="14" fillId="4" borderId="0" xfId="0" applyNumberFormat="1" applyFont="1" applyFill="1" applyAlignment="1">
      <alignment horizontal="center" vertical="center"/>
    </xf>
    <xf numFmtId="1" fontId="14" fillId="4" borderId="5" xfId="0" applyNumberFormat="1" applyFont="1" applyFill="1" applyBorder="1" applyAlignment="1">
      <alignment horizontal="center" vertical="center"/>
    </xf>
    <xf numFmtId="1" fontId="14" fillId="3" borderId="2" xfId="0" applyNumberFormat="1" applyFont="1" applyFill="1" applyBorder="1" applyAlignment="1" applyProtection="1">
      <alignment horizontal="center" vertical="center"/>
      <protection locked="0"/>
    </xf>
    <xf numFmtId="1" fontId="14" fillId="3" borderId="0" xfId="0" applyNumberFormat="1" applyFont="1" applyFill="1" applyAlignment="1" applyProtection="1">
      <alignment horizontal="center" vertical="center"/>
      <protection locked="0"/>
    </xf>
    <xf numFmtId="1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>
      <alignment horizontal="center" vertical="center" wrapText="1"/>
    </xf>
    <xf numFmtId="1" fontId="15" fillId="4" borderId="15" xfId="0" applyNumberFormat="1" applyFont="1" applyFill="1" applyBorder="1" applyAlignment="1">
      <alignment horizontal="center" vertical="center" wrapText="1"/>
    </xf>
    <xf numFmtId="49" fontId="16" fillId="3" borderId="13" xfId="0" applyNumberFormat="1" applyFont="1" applyFill="1" applyBorder="1" applyAlignment="1">
      <alignment horizontal="center" vertical="center" wrapText="1"/>
    </xf>
    <xf numFmtId="49" fontId="16" fillId="3" borderId="4" xfId="0" applyNumberFormat="1" applyFont="1" applyFill="1" applyBorder="1" applyAlignment="1">
      <alignment horizontal="center" vertical="center" wrapText="1"/>
    </xf>
    <xf numFmtId="49" fontId="38" fillId="3" borderId="13" xfId="0" applyNumberFormat="1" applyFont="1" applyFill="1" applyBorder="1" applyAlignment="1">
      <alignment horizontal="center" vertical="center" wrapText="1"/>
    </xf>
    <xf numFmtId="49" fontId="38" fillId="3" borderId="4" xfId="0" applyNumberFormat="1" applyFont="1" applyFill="1" applyBorder="1" applyAlignment="1">
      <alignment horizontal="center" vertical="center" wrapText="1"/>
    </xf>
    <xf numFmtId="4" fontId="16" fillId="3" borderId="3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</cellXfs>
  <cellStyles count="3">
    <cellStyle name="Euro" xfId="1" xr:uid="{983B0B46-5B45-447E-9FC0-CBBAC584FFFB}"/>
    <cellStyle name="Komma" xfId="2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D6FA-FF91-41E4-9F4A-A5D9C7396A0E}">
  <sheetPr>
    <pageSetUpPr fitToPage="1"/>
  </sheetPr>
  <dimension ref="A1:Q47"/>
  <sheetViews>
    <sheetView tabSelected="1" zoomScale="115" zoomScaleNormal="115" workbookViewId="0">
      <selection activeCell="D20" sqref="D20"/>
    </sheetView>
  </sheetViews>
  <sheetFormatPr baseColWidth="10" defaultRowHeight="12.75" x14ac:dyDescent="0.2"/>
  <cols>
    <col min="1" max="1" width="31.140625" customWidth="1"/>
    <col min="2" max="2" width="30.7109375" customWidth="1"/>
  </cols>
  <sheetData>
    <row r="1" spans="1:17" ht="15.75" x14ac:dyDescent="0.25">
      <c r="A1" s="92" t="s">
        <v>156</v>
      </c>
      <c r="B1" s="93"/>
      <c r="C1" s="106"/>
      <c r="D1" s="107"/>
      <c r="E1" s="108"/>
      <c r="F1" s="109"/>
      <c r="G1" s="110"/>
      <c r="H1" s="110"/>
      <c r="I1" s="110"/>
      <c r="J1" s="110"/>
      <c r="K1" s="111"/>
      <c r="L1" s="109"/>
      <c r="M1" s="112"/>
      <c r="N1" s="113"/>
      <c r="O1" s="114"/>
      <c r="P1" s="112"/>
      <c r="Q1" s="115"/>
    </row>
    <row r="2" spans="1:17" ht="15.75" x14ac:dyDescent="0.25">
      <c r="A2" s="105" t="s">
        <v>40</v>
      </c>
      <c r="B2" s="93"/>
      <c r="C2" s="106"/>
      <c r="D2" s="107"/>
      <c r="E2" s="108"/>
      <c r="F2" s="109"/>
      <c r="G2" s="110"/>
      <c r="H2" s="110"/>
      <c r="I2" s="110"/>
      <c r="J2" s="110"/>
      <c r="K2" s="111"/>
      <c r="L2" s="109"/>
      <c r="M2" s="112"/>
      <c r="N2" s="113"/>
      <c r="O2" s="114"/>
      <c r="P2" s="112"/>
      <c r="Q2" s="115"/>
    </row>
    <row r="3" spans="1:17" ht="23.25" x14ac:dyDescent="0.2">
      <c r="A3" s="39" t="s">
        <v>13</v>
      </c>
      <c r="C3" s="16"/>
      <c r="D3" s="8"/>
      <c r="E3" s="2"/>
      <c r="F3" s="4"/>
      <c r="G3" s="1"/>
      <c r="H3" s="1"/>
      <c r="I3" s="1"/>
      <c r="J3" s="1"/>
      <c r="K3" s="18"/>
      <c r="L3" s="4"/>
      <c r="M3" s="17"/>
      <c r="N3" s="7"/>
      <c r="O3" s="5"/>
      <c r="P3" s="17"/>
      <c r="Q3" s="13"/>
    </row>
    <row r="4" spans="1:17" s="40" customFormat="1" ht="15.75" x14ac:dyDescent="0.25">
      <c r="A4" s="4" t="s">
        <v>417</v>
      </c>
      <c r="B4" s="6"/>
      <c r="C4" s="16"/>
      <c r="D4" s="8"/>
      <c r="E4" s="2"/>
      <c r="F4" s="4"/>
      <c r="G4" s="1"/>
      <c r="H4" s="1"/>
      <c r="I4" s="1"/>
      <c r="J4" s="1"/>
      <c r="K4" s="18"/>
      <c r="L4" s="4"/>
      <c r="M4" s="17"/>
      <c r="N4" s="7"/>
      <c r="O4" s="5"/>
      <c r="P4" s="17"/>
      <c r="Q4" s="13"/>
    </row>
    <row r="5" spans="1:17" s="40" customFormat="1" ht="15.75" x14ac:dyDescent="0.25"/>
    <row r="6" spans="1:17" s="40" customFormat="1" ht="15.75" x14ac:dyDescent="0.25">
      <c r="A6" s="40" t="s">
        <v>392</v>
      </c>
    </row>
    <row r="7" spans="1:17" s="40" customFormat="1" ht="15.75" x14ac:dyDescent="0.25">
      <c r="A7" s="40" t="s">
        <v>188</v>
      </c>
    </row>
    <row r="8" spans="1:17" s="40" customFormat="1" ht="15.75" x14ac:dyDescent="0.25">
      <c r="A8" s="40" t="s">
        <v>186</v>
      </c>
    </row>
    <row r="9" spans="1:17" s="40" customFormat="1" ht="15.75" x14ac:dyDescent="0.25">
      <c r="A9" s="40" t="s">
        <v>394</v>
      </c>
    </row>
    <row r="10" spans="1:17" s="40" customFormat="1" ht="15.75" x14ac:dyDescent="0.25">
      <c r="A10" s="40" t="s">
        <v>187</v>
      </c>
    </row>
    <row r="11" spans="1:17" s="40" customFormat="1" ht="15.75" x14ac:dyDescent="0.25">
      <c r="A11" s="329" t="s">
        <v>170</v>
      </c>
    </row>
    <row r="12" spans="1:17" s="40" customFormat="1" ht="15.75" x14ac:dyDescent="0.25">
      <c r="A12" s="51"/>
    </row>
    <row r="13" spans="1:17" s="40" customFormat="1" ht="15.75" x14ac:dyDescent="0.25">
      <c r="A13" s="788" t="s">
        <v>14</v>
      </c>
      <c r="B13" s="41"/>
      <c r="C13" s="41"/>
      <c r="D13" s="41"/>
      <c r="E13" s="41"/>
      <c r="F13" s="91" t="s">
        <v>15</v>
      </c>
    </row>
    <row r="14" spans="1:17" s="40" customFormat="1" ht="15.75" x14ac:dyDescent="0.25">
      <c r="A14" s="789" t="s">
        <v>41</v>
      </c>
      <c r="B14" s="42"/>
      <c r="C14" s="42"/>
      <c r="D14" s="42"/>
      <c r="E14" s="42"/>
    </row>
    <row r="15" spans="1:17" s="40" customFormat="1" ht="15.75" x14ac:dyDescent="0.25">
      <c r="A15" s="790" t="s">
        <v>9</v>
      </c>
      <c r="B15" s="12"/>
      <c r="C15" s="12"/>
      <c r="D15" s="12"/>
      <c r="E15" s="12"/>
    </row>
    <row r="16" spans="1:17" s="40" customFormat="1" ht="15.75" x14ac:dyDescent="0.25"/>
    <row r="17" spans="1:2" s="40" customFormat="1" ht="15.75" x14ac:dyDescent="0.25">
      <c r="A17" s="40" t="s">
        <v>320</v>
      </c>
    </row>
    <row r="18" spans="1:2" s="40" customFormat="1" ht="15.75" x14ac:dyDescent="0.25"/>
    <row r="19" spans="1:2" s="40" customFormat="1" ht="15.75" customHeight="1" x14ac:dyDescent="0.25">
      <c r="A19" s="317" t="s">
        <v>12</v>
      </c>
      <c r="B19" s="318"/>
    </row>
    <row r="20" spans="1:2" s="40" customFormat="1" ht="15.75" customHeight="1" x14ac:dyDescent="0.25">
      <c r="A20" s="518"/>
      <c r="B20" s="519"/>
    </row>
    <row r="21" spans="1:2" s="40" customFormat="1" ht="15.75" x14ac:dyDescent="0.25">
      <c r="A21" s="326" t="s">
        <v>10</v>
      </c>
      <c r="B21" s="322"/>
    </row>
    <row r="22" spans="1:2" s="40" customFormat="1" ht="15.75" x14ac:dyDescent="0.25">
      <c r="A22" s="321" t="s">
        <v>389</v>
      </c>
      <c r="B22" s="323"/>
    </row>
    <row r="23" spans="1:2" s="40" customFormat="1" ht="15.75" x14ac:dyDescent="0.25">
      <c r="A23" s="321" t="s">
        <v>11</v>
      </c>
      <c r="B23" s="323"/>
    </row>
    <row r="24" spans="1:2" s="40" customFormat="1" ht="15.75" x14ac:dyDescent="0.25">
      <c r="A24" s="319"/>
      <c r="B24" s="800"/>
    </row>
    <row r="25" spans="1:2" s="40" customFormat="1" ht="15.75" x14ac:dyDescent="0.25">
      <c r="A25" s="319" t="s">
        <v>168</v>
      </c>
      <c r="B25" s="801"/>
    </row>
    <row r="26" spans="1:2" s="40" customFormat="1" ht="15.75" x14ac:dyDescent="0.25">
      <c r="A26" s="320" t="s">
        <v>38</v>
      </c>
      <c r="B26" s="801"/>
    </row>
    <row r="27" spans="1:2" s="40" customFormat="1" ht="15.75" x14ac:dyDescent="0.25">
      <c r="A27" s="320" t="s">
        <v>39</v>
      </c>
      <c r="B27" s="801"/>
    </row>
    <row r="28" spans="1:2" s="40" customFormat="1" ht="15.75" x14ac:dyDescent="0.25">
      <c r="A28" s="319"/>
      <c r="B28" s="802"/>
    </row>
    <row r="29" spans="1:2" s="40" customFormat="1" ht="15.75" customHeight="1" x14ac:dyDescent="0.25">
      <c r="A29" s="326" t="s">
        <v>265</v>
      </c>
      <c r="B29" s="323"/>
    </row>
    <row r="30" spans="1:2" s="40" customFormat="1" ht="15.75" x14ac:dyDescent="0.25">
      <c r="A30" s="321" t="s">
        <v>264</v>
      </c>
      <c r="B30" s="323"/>
    </row>
    <row r="31" spans="1:2" ht="15.75" x14ac:dyDescent="0.2">
      <c r="A31" s="319"/>
      <c r="B31" s="802"/>
    </row>
    <row r="32" spans="1:2" ht="15.75" x14ac:dyDescent="0.2">
      <c r="A32" s="325" t="s">
        <v>266</v>
      </c>
      <c r="B32" s="323"/>
    </row>
    <row r="33" spans="1:2" ht="15.75" x14ac:dyDescent="0.2">
      <c r="A33" s="324" t="s">
        <v>388</v>
      </c>
      <c r="B33" s="323"/>
    </row>
    <row r="34" spans="1:2" ht="15.75" x14ac:dyDescent="0.2">
      <c r="A34" s="319"/>
      <c r="B34" s="802"/>
    </row>
    <row r="35" spans="1:2" ht="15.75" x14ac:dyDescent="0.2">
      <c r="A35" s="319" t="s">
        <v>164</v>
      </c>
      <c r="B35" s="801"/>
    </row>
    <row r="36" spans="1:2" ht="15.75" x14ac:dyDescent="0.2">
      <c r="A36" s="324" t="s">
        <v>54</v>
      </c>
      <c r="B36" s="323"/>
    </row>
    <row r="37" spans="1:2" ht="15.75" x14ac:dyDescent="0.2">
      <c r="A37" s="324"/>
      <c r="B37" s="209"/>
    </row>
    <row r="38" spans="1:2" ht="15.75" x14ac:dyDescent="0.2">
      <c r="A38" s="325" t="s">
        <v>36</v>
      </c>
      <c r="B38" s="323"/>
    </row>
    <row r="39" spans="1:2" ht="15.75" x14ac:dyDescent="0.2">
      <c r="A39" s="324" t="s">
        <v>54</v>
      </c>
      <c r="B39" s="323"/>
    </row>
    <row r="40" spans="1:2" ht="15.75" x14ac:dyDescent="0.2">
      <c r="A40" s="324" t="s">
        <v>165</v>
      </c>
      <c r="B40" s="322"/>
    </row>
    <row r="41" spans="1:2" ht="15.75" x14ac:dyDescent="0.2">
      <c r="A41" s="324" t="s">
        <v>37</v>
      </c>
      <c r="B41" s="322"/>
    </row>
    <row r="42" spans="1:2" ht="15.75" x14ac:dyDescent="0.2">
      <c r="A42" s="320"/>
      <c r="B42" s="209"/>
    </row>
    <row r="43" spans="1:2" ht="15.75" customHeight="1" x14ac:dyDescent="0.2">
      <c r="A43" s="319" t="s">
        <v>166</v>
      </c>
      <c r="B43" s="801"/>
    </row>
    <row r="44" spans="1:2" ht="15.75" x14ac:dyDescent="0.2">
      <c r="A44" s="324" t="s">
        <v>54</v>
      </c>
      <c r="B44" s="801"/>
    </row>
    <row r="45" spans="1:2" ht="15.75" x14ac:dyDescent="0.2">
      <c r="A45" s="319" t="s">
        <v>167</v>
      </c>
      <c r="B45" s="801"/>
    </row>
    <row r="46" spans="1:2" ht="15.75" x14ac:dyDescent="0.2">
      <c r="A46" s="324" t="s">
        <v>54</v>
      </c>
      <c r="B46" s="801"/>
    </row>
    <row r="47" spans="1:2" ht="15.75" x14ac:dyDescent="0.2">
      <c r="A47" s="327" t="s">
        <v>169</v>
      </c>
      <c r="B47" s="803"/>
    </row>
  </sheetData>
  <sheetProtection insertRows="0"/>
  <protectedRanges>
    <protectedRange sqref="B1:Q1 B3:Q3 A2:Q2" name="Bereich1_1_1_1_1_1_1_1"/>
    <protectedRange sqref="A1" name="Bereich1_1_1_1_1_1_1_1_1"/>
    <protectedRange sqref="A19:A20" name="Bereich1_1_1_1_1_1_1_1_2_1_1_1_1"/>
  </protectedRanges>
  <pageMargins left="0.25" right="0.25" top="0.75" bottom="0.75" header="0.3" footer="0.3"/>
  <pageSetup paperSize="9" scale="7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73FED-333D-4941-8968-233707D60D80}">
  <sheetPr>
    <pageSetUpPr fitToPage="1"/>
  </sheetPr>
  <dimension ref="A1:X60"/>
  <sheetViews>
    <sheetView topLeftCell="A15" zoomScaleNormal="100" workbookViewId="0">
      <selection activeCell="I31" sqref="I31"/>
    </sheetView>
  </sheetViews>
  <sheetFormatPr baseColWidth="10" defaultRowHeight="15.75" x14ac:dyDescent="0.2"/>
  <cols>
    <col min="1" max="1" width="2.28515625" style="6" customWidth="1"/>
    <col min="2" max="2" width="9.5703125" style="35" customWidth="1"/>
    <col min="3" max="3" width="11.42578125" style="35" customWidth="1"/>
    <col min="4" max="4" width="8.85546875" style="35" customWidth="1"/>
    <col min="5" max="5" width="45" style="36" customWidth="1"/>
    <col min="6" max="6" width="11.5703125" style="533" bestFit="1" customWidth="1"/>
    <col min="7" max="7" width="9.7109375" style="31" bestFit="1" customWidth="1"/>
    <col min="8" max="8" width="10.7109375" style="494" customWidth="1"/>
    <col min="9" max="9" width="10.7109375" style="28" customWidth="1"/>
    <col min="10" max="10" width="10.7109375" style="31" customWidth="1"/>
    <col min="11" max="11" width="10.7109375" style="30" customWidth="1"/>
    <col min="12" max="12" width="10" style="78" bestFit="1" customWidth="1"/>
    <col min="13" max="13" width="8.7109375" style="3" customWidth="1"/>
    <col min="14" max="14" width="2.140625" style="3" customWidth="1"/>
    <col min="15" max="15" width="5.140625" style="3" customWidth="1"/>
    <col min="16" max="16" width="3.28515625" style="3" customWidth="1"/>
    <col min="17" max="17" width="9" style="3" customWidth="1"/>
    <col min="18" max="18" width="2.140625" style="3" customWidth="1"/>
    <col min="19" max="19" width="5.140625" style="3" customWidth="1"/>
    <col min="20" max="20" width="10.28515625" style="3" customWidth="1"/>
    <col min="21" max="21" width="9.5703125" style="3" customWidth="1"/>
    <col min="22" max="16384" width="11.42578125" style="3"/>
  </cols>
  <sheetData>
    <row r="1" spans="1:22" x14ac:dyDescent="0.25">
      <c r="A1" s="11"/>
      <c r="B1" s="10" t="s">
        <v>157</v>
      </c>
      <c r="C1" s="10"/>
      <c r="D1" s="10"/>
      <c r="E1" s="69"/>
      <c r="F1" s="532"/>
      <c r="G1" s="72"/>
      <c r="H1" s="493"/>
      <c r="I1" s="70"/>
      <c r="J1" s="72"/>
      <c r="K1" s="71"/>
      <c r="L1" s="763"/>
    </row>
    <row r="2" spans="1:22" x14ac:dyDescent="0.25">
      <c r="A2" s="11"/>
      <c r="B2" s="12" t="s">
        <v>40</v>
      </c>
      <c r="C2" s="12"/>
      <c r="D2" s="12"/>
      <c r="E2" s="69"/>
      <c r="F2" s="532"/>
      <c r="G2" s="72"/>
      <c r="H2" s="493"/>
      <c r="I2" s="70"/>
      <c r="J2" s="72"/>
      <c r="K2" s="71"/>
      <c r="L2" s="763"/>
    </row>
    <row r="3" spans="1:22" ht="23.25" x14ac:dyDescent="0.2">
      <c r="A3"/>
      <c r="B3" s="39" t="s">
        <v>179</v>
      </c>
      <c r="C3" s="39"/>
      <c r="D3" s="39"/>
    </row>
    <row r="4" spans="1:22" s="4" customFormat="1" x14ac:dyDescent="0.2">
      <c r="A4" s="6"/>
      <c r="B4" s="1068" t="s">
        <v>185</v>
      </c>
      <c r="C4" s="1069" t="s">
        <v>183</v>
      </c>
      <c r="D4" s="1068" t="s">
        <v>184</v>
      </c>
      <c r="E4" s="1067" t="s">
        <v>0</v>
      </c>
      <c r="F4" s="1070" t="s">
        <v>1</v>
      </c>
      <c r="G4" s="1101" t="s">
        <v>196</v>
      </c>
      <c r="H4" s="1082" t="s">
        <v>201</v>
      </c>
      <c r="I4" s="1083" t="s">
        <v>189</v>
      </c>
      <c r="J4" s="1067" t="s">
        <v>197</v>
      </c>
      <c r="K4" s="1058" t="s">
        <v>32</v>
      </c>
      <c r="L4" s="1061" t="s">
        <v>192</v>
      </c>
      <c r="M4" s="1081" t="s">
        <v>196</v>
      </c>
      <c r="N4" s="1062"/>
      <c r="O4" s="1063"/>
      <c r="P4" s="541"/>
      <c r="Q4" s="1064" t="s">
        <v>202</v>
      </c>
      <c r="R4" s="1065"/>
      <c r="S4" s="1066"/>
      <c r="T4" s="1058" t="s">
        <v>32</v>
      </c>
      <c r="U4" s="1059" t="s">
        <v>200</v>
      </c>
      <c r="V4" s="1057" t="s">
        <v>368</v>
      </c>
    </row>
    <row r="5" spans="1:22" ht="32.25" thickBot="1" x14ac:dyDescent="0.25">
      <c r="A5" s="81"/>
      <c r="B5" s="1068"/>
      <c r="C5" s="1069"/>
      <c r="D5" s="1068"/>
      <c r="E5" s="1067"/>
      <c r="F5" s="1070"/>
      <c r="G5" s="1102"/>
      <c r="H5" s="1082"/>
      <c r="I5" s="1084"/>
      <c r="J5" s="1067"/>
      <c r="K5" s="1058"/>
      <c r="L5" s="1061"/>
      <c r="M5" s="558" t="s">
        <v>195</v>
      </c>
      <c r="N5" s="559"/>
      <c r="O5" s="560" t="s">
        <v>194</v>
      </c>
      <c r="P5" s="139"/>
      <c r="Q5" s="397" t="s">
        <v>195</v>
      </c>
      <c r="R5" s="403" t="s">
        <v>193</v>
      </c>
      <c r="S5" s="398" t="s">
        <v>194</v>
      </c>
      <c r="T5" s="1058"/>
      <c r="U5" s="1059"/>
      <c r="V5" s="1057"/>
    </row>
    <row r="6" spans="1:22" ht="30" customHeight="1" thickTop="1" x14ac:dyDescent="0.2">
      <c r="A6" s="81"/>
      <c r="B6" s="488"/>
      <c r="C6" s="489"/>
      <c r="D6" s="490"/>
      <c r="E6" s="491"/>
      <c r="F6" s="488"/>
      <c r="G6" s="492"/>
      <c r="H6" s="495"/>
      <c r="I6" s="941">
        <v>150</v>
      </c>
      <c r="J6" s="492"/>
      <c r="L6" s="718"/>
      <c r="M6" s="124"/>
      <c r="N6" s="376"/>
      <c r="O6" s="142"/>
      <c r="P6" s="124"/>
      <c r="Q6" s="124"/>
      <c r="R6" s="376"/>
      <c r="S6" s="124"/>
      <c r="T6" s="390"/>
      <c r="U6" s="390"/>
    </row>
    <row r="7" spans="1:22" x14ac:dyDescent="0.2">
      <c r="A7" s="82"/>
      <c r="B7" s="774"/>
      <c r="C7" s="658"/>
      <c r="D7" s="658"/>
      <c r="E7" s="660" t="s">
        <v>52</v>
      </c>
      <c r="F7" s="661"/>
      <c r="G7" s="702"/>
      <c r="H7" s="668"/>
      <c r="I7" s="644"/>
      <c r="J7" s="703"/>
      <c r="K7" s="671"/>
      <c r="L7" s="719"/>
      <c r="M7" s="645"/>
      <c r="N7" s="418"/>
      <c r="O7" s="646"/>
      <c r="P7" s="385"/>
      <c r="Q7" s="647"/>
      <c r="R7" s="648"/>
      <c r="S7" s="649"/>
      <c r="T7" s="545"/>
      <c r="U7" s="650"/>
      <c r="V7" s="651"/>
    </row>
    <row r="8" spans="1:22" x14ac:dyDescent="0.2">
      <c r="A8" s="34"/>
      <c r="B8" s="769"/>
      <c r="C8" s="627"/>
      <c r="D8" s="48"/>
      <c r="E8" s="85" t="s">
        <v>239</v>
      </c>
      <c r="F8" s="73" t="s">
        <v>92</v>
      </c>
      <c r="G8" s="616" t="s">
        <v>190</v>
      </c>
      <c r="H8" s="869">
        <v>15</v>
      </c>
      <c r="I8" s="875">
        <f>$I$6</f>
        <v>150</v>
      </c>
      <c r="J8" s="594">
        <f>600/H8</f>
        <v>40</v>
      </c>
      <c r="K8" s="63">
        <f>I8/J8</f>
        <v>3.75</v>
      </c>
      <c r="L8" s="714">
        <f>ROUNDUP(K8,0)</f>
        <v>4</v>
      </c>
      <c r="M8" s="1051">
        <f>ROUNDDOWN(L8/1,0)</f>
        <v>4</v>
      </c>
      <c r="N8" s="1052"/>
      <c r="O8" s="1053"/>
      <c r="P8" s="124"/>
      <c r="Q8" s="1076">
        <f>M8</f>
        <v>4</v>
      </c>
      <c r="R8" s="1077"/>
      <c r="S8" s="1078"/>
      <c r="T8" s="404">
        <f>(Q8*1)+S8</f>
        <v>4</v>
      </c>
      <c r="U8" s="402">
        <f>T8*1</f>
        <v>4</v>
      </c>
      <c r="V8" s="546" t="s">
        <v>261</v>
      </c>
    </row>
    <row r="9" spans="1:22" x14ac:dyDescent="0.2">
      <c r="A9" s="34"/>
      <c r="B9" s="769"/>
      <c r="C9" s="627"/>
      <c r="D9" s="48"/>
      <c r="E9" s="85" t="s">
        <v>247</v>
      </c>
      <c r="F9" s="73" t="s">
        <v>59</v>
      </c>
      <c r="G9" s="616" t="s">
        <v>190</v>
      </c>
      <c r="H9" s="869">
        <v>15</v>
      </c>
      <c r="I9" s="875">
        <f>$I$6</f>
        <v>150</v>
      </c>
      <c r="J9" s="594">
        <f>300/H9</f>
        <v>20</v>
      </c>
      <c r="K9" s="63">
        <f t="shared" ref="K9:K40" si="0">I9/J9</f>
        <v>7.5</v>
      </c>
      <c r="L9" s="714">
        <f t="shared" ref="L9:L40" si="1">ROUNDUP(K9,0)</f>
        <v>8</v>
      </c>
      <c r="M9" s="1051">
        <f>ROUNDDOWN(L9/1,0)</f>
        <v>8</v>
      </c>
      <c r="N9" s="1052"/>
      <c r="O9" s="1053"/>
      <c r="P9" s="124"/>
      <c r="Q9" s="1076">
        <f>M9</f>
        <v>8</v>
      </c>
      <c r="R9" s="1077"/>
      <c r="S9" s="1078"/>
      <c r="T9" s="404">
        <f>(Q9*1)+S9</f>
        <v>8</v>
      </c>
      <c r="U9" s="402">
        <f t="shared" ref="U9:U38" si="2">T9*1</f>
        <v>8</v>
      </c>
      <c r="V9" s="546" t="s">
        <v>261</v>
      </c>
    </row>
    <row r="10" spans="1:22" x14ac:dyDescent="0.2">
      <c r="A10" s="83"/>
      <c r="B10" s="769"/>
      <c r="C10" s="627"/>
      <c r="D10" s="48"/>
      <c r="E10" s="85" t="s">
        <v>24</v>
      </c>
      <c r="F10" s="73" t="s">
        <v>93</v>
      </c>
      <c r="G10" s="616" t="s">
        <v>190</v>
      </c>
      <c r="H10" s="869">
        <v>15</v>
      </c>
      <c r="I10" s="875">
        <f t="shared" ref="I10:I40" si="3">$I$6</f>
        <v>150</v>
      </c>
      <c r="J10" s="594">
        <f>625/H10</f>
        <v>41.666666666666664</v>
      </c>
      <c r="K10" s="63">
        <f t="shared" si="0"/>
        <v>3.6</v>
      </c>
      <c r="L10" s="714">
        <f t="shared" si="1"/>
        <v>4</v>
      </c>
      <c r="M10" s="1051">
        <f>ROUNDDOWN(L10/1,0)</f>
        <v>4</v>
      </c>
      <c r="N10" s="1052"/>
      <c r="O10" s="1053"/>
      <c r="P10" s="124"/>
      <c r="Q10" s="1076">
        <f>M10</f>
        <v>4</v>
      </c>
      <c r="R10" s="1077"/>
      <c r="S10" s="1078"/>
      <c r="T10" s="404">
        <f>(Q10*1)+S10</f>
        <v>4</v>
      </c>
      <c r="U10" s="402">
        <f t="shared" si="2"/>
        <v>4</v>
      </c>
      <c r="V10" s="546" t="s">
        <v>261</v>
      </c>
    </row>
    <row r="11" spans="1:22" x14ac:dyDescent="0.2">
      <c r="A11" s="32"/>
      <c r="B11" s="769"/>
      <c r="C11" s="627"/>
      <c r="D11" s="48"/>
      <c r="E11" s="85" t="s">
        <v>33</v>
      </c>
      <c r="F11" s="73" t="s">
        <v>94</v>
      </c>
      <c r="G11" s="616" t="s">
        <v>3</v>
      </c>
      <c r="H11" s="869">
        <v>15</v>
      </c>
      <c r="I11" s="875">
        <f t="shared" si="3"/>
        <v>150</v>
      </c>
      <c r="J11" s="594">
        <f>16.7/H11</f>
        <v>1.1133333333333333</v>
      </c>
      <c r="K11" s="63">
        <f t="shared" si="0"/>
        <v>134.73053892215569</v>
      </c>
      <c r="L11" s="714">
        <f t="shared" si="1"/>
        <v>135</v>
      </c>
      <c r="M11" s="432">
        <f>ROUNDDOWN(L11/48,0)</f>
        <v>2</v>
      </c>
      <c r="N11" s="378" t="s">
        <v>193</v>
      </c>
      <c r="O11" s="433">
        <f>MOD(L11,48)</f>
        <v>39</v>
      </c>
      <c r="P11" s="124"/>
      <c r="Q11" s="848">
        <f>M11</f>
        <v>2</v>
      </c>
      <c r="R11" s="805" t="s">
        <v>193</v>
      </c>
      <c r="S11" s="849">
        <f>O11</f>
        <v>39</v>
      </c>
      <c r="T11" s="404">
        <f>(Q11*48)+S11</f>
        <v>135</v>
      </c>
      <c r="U11" s="402">
        <f t="shared" si="2"/>
        <v>135</v>
      </c>
      <c r="V11" s="546" t="s">
        <v>3</v>
      </c>
    </row>
    <row r="12" spans="1:22" x14ac:dyDescent="0.2">
      <c r="A12" s="83"/>
      <c r="B12" s="769"/>
      <c r="C12" s="627"/>
      <c r="D12" s="48"/>
      <c r="E12" s="85" t="s">
        <v>27</v>
      </c>
      <c r="F12" s="73" t="s">
        <v>95</v>
      </c>
      <c r="G12" s="616" t="s">
        <v>190</v>
      </c>
      <c r="H12" s="869">
        <v>10</v>
      </c>
      <c r="I12" s="875">
        <f t="shared" si="3"/>
        <v>150</v>
      </c>
      <c r="J12" s="594">
        <f>500/H12</f>
        <v>50</v>
      </c>
      <c r="K12" s="63">
        <f t="shared" si="0"/>
        <v>3</v>
      </c>
      <c r="L12" s="714">
        <f t="shared" si="1"/>
        <v>3</v>
      </c>
      <c r="M12" s="1051">
        <f>ROUNDDOWN(L12/1,0)</f>
        <v>3</v>
      </c>
      <c r="N12" s="1052"/>
      <c r="O12" s="1053"/>
      <c r="P12" s="124"/>
      <c r="Q12" s="1076">
        <f>M12</f>
        <v>3</v>
      </c>
      <c r="R12" s="1077"/>
      <c r="S12" s="1078"/>
      <c r="T12" s="404">
        <f>(Q12*1)+S12</f>
        <v>3</v>
      </c>
      <c r="U12" s="402">
        <f t="shared" si="2"/>
        <v>3</v>
      </c>
      <c r="V12" s="546" t="s">
        <v>261</v>
      </c>
    </row>
    <row r="13" spans="1:22" x14ac:dyDescent="0.2">
      <c r="A13" s="83"/>
      <c r="B13" s="771"/>
      <c r="C13" s="628"/>
      <c r="D13" s="471"/>
      <c r="E13" s="527" t="s">
        <v>51</v>
      </c>
      <c r="F13" s="510"/>
      <c r="G13" s="642"/>
      <c r="H13" s="870"/>
      <c r="I13" s="878"/>
      <c r="J13" s="713"/>
      <c r="K13" s="674"/>
      <c r="L13" s="715"/>
      <c r="M13" s="1085"/>
      <c r="N13" s="1086"/>
      <c r="O13" s="1087"/>
      <c r="P13" s="124"/>
      <c r="Q13" s="1091"/>
      <c r="R13" s="1092"/>
      <c r="S13" s="1093"/>
      <c r="T13" s="385"/>
      <c r="U13" s="431"/>
      <c r="V13" s="652"/>
    </row>
    <row r="14" spans="1:22" x14ac:dyDescent="0.2">
      <c r="A14" s="76"/>
      <c r="B14" s="769"/>
      <c r="C14" s="627"/>
      <c r="D14" s="48"/>
      <c r="E14" s="85" t="s">
        <v>23</v>
      </c>
      <c r="F14" s="73" t="s">
        <v>84</v>
      </c>
      <c r="G14" s="616" t="s">
        <v>3</v>
      </c>
      <c r="H14" s="869">
        <v>3</v>
      </c>
      <c r="I14" s="875">
        <f t="shared" si="3"/>
        <v>150</v>
      </c>
      <c r="J14" s="594">
        <f>17/H14</f>
        <v>5.666666666666667</v>
      </c>
      <c r="K14" s="63">
        <f t="shared" si="0"/>
        <v>26.470588235294116</v>
      </c>
      <c r="L14" s="714">
        <f t="shared" si="1"/>
        <v>27</v>
      </c>
      <c r="M14" s="432">
        <f>ROUNDDOWN(L14/48,0)</f>
        <v>0</v>
      </c>
      <c r="N14" s="378" t="s">
        <v>193</v>
      </c>
      <c r="O14" s="433">
        <f>MOD(L14,48)</f>
        <v>27</v>
      </c>
      <c r="P14" s="124"/>
      <c r="Q14" s="848">
        <f>M14</f>
        <v>0</v>
      </c>
      <c r="R14" s="805" t="s">
        <v>193</v>
      </c>
      <c r="S14" s="849">
        <f>O14</f>
        <v>27</v>
      </c>
      <c r="T14" s="404">
        <f>(Q14*48)+S14</f>
        <v>27</v>
      </c>
      <c r="U14" s="402">
        <f t="shared" si="2"/>
        <v>27</v>
      </c>
      <c r="V14" s="546" t="s">
        <v>3</v>
      </c>
    </row>
    <row r="15" spans="1:22" x14ac:dyDescent="0.2">
      <c r="A15" s="76"/>
      <c r="B15" s="771"/>
      <c r="C15" s="628"/>
      <c r="D15" s="471"/>
      <c r="E15" s="527" t="s">
        <v>248</v>
      </c>
      <c r="F15" s="510"/>
      <c r="G15" s="642"/>
      <c r="H15" s="870"/>
      <c r="I15" s="878"/>
      <c r="J15" s="713"/>
      <c r="K15" s="674"/>
      <c r="L15" s="716"/>
      <c r="M15" s="1085"/>
      <c r="N15" s="1086"/>
      <c r="O15" s="1087"/>
      <c r="P15" s="386"/>
      <c r="Q15" s="1091"/>
      <c r="R15" s="1092"/>
      <c r="S15" s="1093"/>
      <c r="T15" s="385"/>
      <c r="U15" s="431"/>
      <c r="V15" s="652"/>
    </row>
    <row r="16" spans="1:22" ht="18" x14ac:dyDescent="0.2">
      <c r="A16" s="76"/>
      <c r="B16" s="769"/>
      <c r="C16" s="627"/>
      <c r="D16" s="48"/>
      <c r="E16" s="90" t="s">
        <v>254</v>
      </c>
      <c r="F16" s="73" t="s">
        <v>251</v>
      </c>
      <c r="G16" s="616" t="s">
        <v>5</v>
      </c>
      <c r="H16" s="869"/>
      <c r="I16" s="875">
        <f t="shared" si="3"/>
        <v>150</v>
      </c>
      <c r="J16" s="978">
        <v>0.433</v>
      </c>
      <c r="K16" s="63">
        <f t="shared" si="0"/>
        <v>346.42032332563508</v>
      </c>
      <c r="L16" s="714">
        <f t="shared" si="1"/>
        <v>347</v>
      </c>
      <c r="M16" s="502">
        <f>ROUNDDOWN(L16/84,0)</f>
        <v>4</v>
      </c>
      <c r="N16" s="503" t="s">
        <v>193</v>
      </c>
      <c r="O16" s="504">
        <f>MOD(L16,84)</f>
        <v>11</v>
      </c>
      <c r="P16" s="124"/>
      <c r="Q16" s="848">
        <f t="shared" ref="Q16:Q35" si="4">M16</f>
        <v>4</v>
      </c>
      <c r="R16" s="805" t="s">
        <v>193</v>
      </c>
      <c r="S16" s="849">
        <f>O16</f>
        <v>11</v>
      </c>
      <c r="T16" s="404">
        <f>(Q16*84)+S16</f>
        <v>347</v>
      </c>
      <c r="U16" s="402">
        <f>T16*J16</f>
        <v>150.251</v>
      </c>
      <c r="V16" s="546" t="s">
        <v>312</v>
      </c>
    </row>
    <row r="17" spans="1:23" x14ac:dyDescent="0.25">
      <c r="A17" s="76"/>
      <c r="B17" s="769"/>
      <c r="C17" s="627"/>
      <c r="D17" s="48"/>
      <c r="E17" s="85" t="s">
        <v>240</v>
      </c>
      <c r="F17" s="73" t="s">
        <v>96</v>
      </c>
      <c r="G17" s="616" t="s">
        <v>199</v>
      </c>
      <c r="H17" s="869"/>
      <c r="I17" s="875">
        <f t="shared" si="3"/>
        <v>150</v>
      </c>
      <c r="J17" s="640">
        <v>19.826086956521738</v>
      </c>
      <c r="K17" s="63">
        <f t="shared" si="0"/>
        <v>7.5657894736842106</v>
      </c>
      <c r="L17" s="714">
        <f t="shared" si="1"/>
        <v>8</v>
      </c>
      <c r="M17" s="1051">
        <f>ROUNDDOWN(L17/1,0)</f>
        <v>8</v>
      </c>
      <c r="N17" s="1052"/>
      <c r="O17" s="1053"/>
      <c r="P17" s="124"/>
      <c r="Q17" s="1076">
        <f t="shared" si="4"/>
        <v>8</v>
      </c>
      <c r="R17" s="1077"/>
      <c r="S17" s="1078"/>
      <c r="T17" s="404">
        <f>(Q17*1)+S17</f>
        <v>8</v>
      </c>
      <c r="U17" s="402">
        <f t="shared" si="2"/>
        <v>8</v>
      </c>
      <c r="V17" s="214" t="s">
        <v>317</v>
      </c>
    </row>
    <row r="18" spans="1:23" x14ac:dyDescent="0.25">
      <c r="A18" s="76"/>
      <c r="B18" s="769"/>
      <c r="C18" s="627"/>
      <c r="D18" s="48"/>
      <c r="E18" s="85" t="s">
        <v>241</v>
      </c>
      <c r="F18" s="73" t="s">
        <v>97</v>
      </c>
      <c r="G18" s="616" t="s">
        <v>199</v>
      </c>
      <c r="H18" s="869"/>
      <c r="I18" s="875">
        <f t="shared" si="3"/>
        <v>150</v>
      </c>
      <c r="J18" s="640">
        <v>39.652173913043477</v>
      </c>
      <c r="K18" s="63">
        <f t="shared" si="0"/>
        <v>3.7828947368421053</v>
      </c>
      <c r="L18" s="714">
        <f t="shared" si="1"/>
        <v>4</v>
      </c>
      <c r="M18" s="1051">
        <f>ROUNDDOWN(L18/1,0)</f>
        <v>4</v>
      </c>
      <c r="N18" s="1052"/>
      <c r="O18" s="1053"/>
      <c r="P18" s="124"/>
      <c r="Q18" s="1076">
        <f t="shared" si="4"/>
        <v>4</v>
      </c>
      <c r="R18" s="1077"/>
      <c r="S18" s="1078"/>
      <c r="T18" s="404">
        <f>(Q18*1)+S18</f>
        <v>4</v>
      </c>
      <c r="U18" s="402">
        <f t="shared" si="2"/>
        <v>4</v>
      </c>
      <c r="V18" s="214" t="s">
        <v>317</v>
      </c>
    </row>
    <row r="19" spans="1:23" x14ac:dyDescent="0.25">
      <c r="A19" s="76"/>
      <c r="B19" s="769"/>
      <c r="C19" s="627"/>
      <c r="D19" s="48"/>
      <c r="E19" s="85" t="s">
        <v>242</v>
      </c>
      <c r="F19" s="73" t="s">
        <v>98</v>
      </c>
      <c r="G19" s="616" t="s">
        <v>199</v>
      </c>
      <c r="H19" s="869"/>
      <c r="I19" s="875">
        <f t="shared" si="3"/>
        <v>150</v>
      </c>
      <c r="J19" s="640">
        <v>19.826086956521738</v>
      </c>
      <c r="K19" s="63">
        <f t="shared" si="0"/>
        <v>7.5657894736842106</v>
      </c>
      <c r="L19" s="714">
        <f t="shared" si="1"/>
        <v>8</v>
      </c>
      <c r="M19" s="1051">
        <f>ROUNDDOWN(L19/1,0)</f>
        <v>8</v>
      </c>
      <c r="N19" s="1052"/>
      <c r="O19" s="1053"/>
      <c r="P19" s="124"/>
      <c r="Q19" s="1076">
        <f t="shared" si="4"/>
        <v>8</v>
      </c>
      <c r="R19" s="1077"/>
      <c r="S19" s="1078"/>
      <c r="T19" s="404">
        <f>(Q19*1)+S19</f>
        <v>8</v>
      </c>
      <c r="U19" s="402">
        <f t="shared" si="2"/>
        <v>8</v>
      </c>
      <c r="V19" s="214" t="s">
        <v>317</v>
      </c>
    </row>
    <row r="20" spans="1:23" ht="18" x14ac:dyDescent="0.2">
      <c r="A20" s="76"/>
      <c r="B20" s="769"/>
      <c r="C20" s="627"/>
      <c r="D20" s="48"/>
      <c r="E20" s="90" t="s">
        <v>255</v>
      </c>
      <c r="F20" s="73" t="s">
        <v>252</v>
      </c>
      <c r="G20" s="616" t="s">
        <v>5</v>
      </c>
      <c r="H20" s="869"/>
      <c r="I20" s="875">
        <f t="shared" si="3"/>
        <v>150</v>
      </c>
      <c r="J20" s="978">
        <v>0.433</v>
      </c>
      <c r="K20" s="63">
        <f t="shared" si="0"/>
        <v>346.42032332563508</v>
      </c>
      <c r="L20" s="714">
        <f t="shared" si="1"/>
        <v>347</v>
      </c>
      <c r="M20" s="502">
        <f>ROUNDDOWN(L20/57,0)</f>
        <v>6</v>
      </c>
      <c r="N20" s="503" t="s">
        <v>193</v>
      </c>
      <c r="O20" s="504">
        <f>MOD(L20,57)</f>
        <v>5</v>
      </c>
      <c r="P20" s="124"/>
      <c r="Q20" s="848">
        <f t="shared" si="4"/>
        <v>6</v>
      </c>
      <c r="R20" s="805" t="s">
        <v>193</v>
      </c>
      <c r="S20" s="849">
        <f>O20</f>
        <v>5</v>
      </c>
      <c r="T20" s="404">
        <f>(Q20*57)+S20</f>
        <v>347</v>
      </c>
      <c r="U20" s="402">
        <f>T20*J20</f>
        <v>150.251</v>
      </c>
      <c r="V20" s="546" t="s">
        <v>312</v>
      </c>
    </row>
    <row r="21" spans="1:23" x14ac:dyDescent="0.25">
      <c r="A21" s="76"/>
      <c r="B21" s="769"/>
      <c r="C21" s="627"/>
      <c r="D21" s="48"/>
      <c r="E21" s="85" t="s">
        <v>243</v>
      </c>
      <c r="F21" s="73" t="s">
        <v>158</v>
      </c>
      <c r="G21" s="616" t="s">
        <v>199</v>
      </c>
      <c r="H21" s="869"/>
      <c r="I21" s="875">
        <f t="shared" si="3"/>
        <v>150</v>
      </c>
      <c r="J21" s="640">
        <v>19.826086956521738</v>
      </c>
      <c r="K21" s="63">
        <f t="shared" si="0"/>
        <v>7.5657894736842106</v>
      </c>
      <c r="L21" s="714">
        <f t="shared" si="1"/>
        <v>8</v>
      </c>
      <c r="M21" s="1051">
        <f>ROUNDDOWN(L21/1,0)</f>
        <v>8</v>
      </c>
      <c r="N21" s="1052"/>
      <c r="O21" s="1053"/>
      <c r="P21" s="124"/>
      <c r="Q21" s="1076">
        <f t="shared" si="4"/>
        <v>8</v>
      </c>
      <c r="R21" s="1077"/>
      <c r="S21" s="1078"/>
      <c r="T21" s="404">
        <f>(Q21*1)+S21</f>
        <v>8</v>
      </c>
      <c r="U21" s="402">
        <f t="shared" si="2"/>
        <v>8</v>
      </c>
      <c r="V21" s="214" t="s">
        <v>317</v>
      </c>
    </row>
    <row r="22" spans="1:23" x14ac:dyDescent="0.25">
      <c r="A22" s="19"/>
      <c r="B22" s="769"/>
      <c r="C22" s="627"/>
      <c r="D22" s="48"/>
      <c r="E22" s="85" t="s">
        <v>244</v>
      </c>
      <c r="F22" s="73" t="s">
        <v>159</v>
      </c>
      <c r="G22" s="616" t="s">
        <v>199</v>
      </c>
      <c r="H22" s="869"/>
      <c r="I22" s="875">
        <f t="shared" si="3"/>
        <v>150</v>
      </c>
      <c r="J22" s="640">
        <v>19.826086956521738</v>
      </c>
      <c r="K22" s="63">
        <f t="shared" si="0"/>
        <v>7.5657894736842106</v>
      </c>
      <c r="L22" s="714">
        <f t="shared" si="1"/>
        <v>8</v>
      </c>
      <c r="M22" s="1051">
        <f>ROUNDDOWN(L22/1,0)</f>
        <v>8</v>
      </c>
      <c r="N22" s="1052"/>
      <c r="O22" s="1053"/>
      <c r="P22" s="124"/>
      <c r="Q22" s="1076">
        <f t="shared" si="4"/>
        <v>8</v>
      </c>
      <c r="R22" s="1077"/>
      <c r="S22" s="1078"/>
      <c r="T22" s="404">
        <f>(Q22*1)+S22</f>
        <v>8</v>
      </c>
      <c r="U22" s="402">
        <f t="shared" si="2"/>
        <v>8</v>
      </c>
      <c r="V22" s="214" t="s">
        <v>317</v>
      </c>
    </row>
    <row r="23" spans="1:23" x14ac:dyDescent="0.25">
      <c r="A23" s="19"/>
      <c r="B23" s="769"/>
      <c r="C23" s="627"/>
      <c r="D23" s="48"/>
      <c r="E23" s="85" t="s">
        <v>242</v>
      </c>
      <c r="F23" s="73" t="s">
        <v>98</v>
      </c>
      <c r="G23" s="616" t="s">
        <v>199</v>
      </c>
      <c r="H23" s="869"/>
      <c r="I23" s="875">
        <f t="shared" si="3"/>
        <v>150</v>
      </c>
      <c r="J23" s="640">
        <v>19.826086956521738</v>
      </c>
      <c r="K23" s="63">
        <f t="shared" si="0"/>
        <v>7.5657894736842106</v>
      </c>
      <c r="L23" s="714">
        <f t="shared" si="1"/>
        <v>8</v>
      </c>
      <c r="M23" s="1051">
        <f>ROUNDDOWN(L23/1,0)</f>
        <v>8</v>
      </c>
      <c r="N23" s="1052"/>
      <c r="O23" s="1053"/>
      <c r="P23" s="124"/>
      <c r="Q23" s="1076">
        <f t="shared" si="4"/>
        <v>8</v>
      </c>
      <c r="R23" s="1077"/>
      <c r="S23" s="1078"/>
      <c r="T23" s="404">
        <f>(Q23*1)+S23</f>
        <v>8</v>
      </c>
      <c r="U23" s="402">
        <f t="shared" si="2"/>
        <v>8</v>
      </c>
      <c r="V23" s="214" t="s">
        <v>317</v>
      </c>
    </row>
    <row r="24" spans="1:23" ht="18" x14ac:dyDescent="0.2">
      <c r="A24" s="19"/>
      <c r="B24" s="769"/>
      <c r="C24" s="627"/>
      <c r="D24" s="48"/>
      <c r="E24" s="90" t="s">
        <v>256</v>
      </c>
      <c r="F24" s="73" t="s">
        <v>253</v>
      </c>
      <c r="G24" s="616" t="s">
        <v>5</v>
      </c>
      <c r="H24" s="869"/>
      <c r="I24" s="875">
        <f t="shared" si="3"/>
        <v>150</v>
      </c>
      <c r="J24" s="978">
        <v>0.433</v>
      </c>
      <c r="K24" s="63">
        <f t="shared" si="0"/>
        <v>346.42032332563508</v>
      </c>
      <c r="L24" s="714">
        <f t="shared" si="1"/>
        <v>347</v>
      </c>
      <c r="M24" s="502">
        <f>ROUNDDOWN(L24/42,0)</f>
        <v>8</v>
      </c>
      <c r="N24" s="503" t="s">
        <v>193</v>
      </c>
      <c r="O24" s="504">
        <f>MOD(L24,42)</f>
        <v>11</v>
      </c>
      <c r="P24" s="124"/>
      <c r="Q24" s="848">
        <f t="shared" si="4"/>
        <v>8</v>
      </c>
      <c r="R24" s="805" t="s">
        <v>193</v>
      </c>
      <c r="S24" s="849">
        <f>O24</f>
        <v>11</v>
      </c>
      <c r="T24" s="404">
        <f>(Q24*42)+S24</f>
        <v>347</v>
      </c>
      <c r="U24" s="402">
        <f>T24*J24</f>
        <v>150.251</v>
      </c>
      <c r="V24" s="546" t="s">
        <v>312</v>
      </c>
    </row>
    <row r="25" spans="1:23" x14ac:dyDescent="0.25">
      <c r="B25" s="769"/>
      <c r="C25" s="627"/>
      <c r="D25" s="48"/>
      <c r="E25" s="85" t="s">
        <v>245</v>
      </c>
      <c r="F25" s="73" t="s">
        <v>160</v>
      </c>
      <c r="G25" s="616" t="s">
        <v>199</v>
      </c>
      <c r="H25" s="869"/>
      <c r="I25" s="875">
        <f t="shared" si="3"/>
        <v>150</v>
      </c>
      <c r="J25" s="640">
        <v>19.826086956521738</v>
      </c>
      <c r="K25" s="63">
        <f t="shared" si="0"/>
        <v>7.5657894736842106</v>
      </c>
      <c r="L25" s="714">
        <f t="shared" si="1"/>
        <v>8</v>
      </c>
      <c r="M25" s="1051">
        <f>ROUNDDOWN(L25/1,0)</f>
        <v>8</v>
      </c>
      <c r="N25" s="1052"/>
      <c r="O25" s="1053"/>
      <c r="Q25" s="1076">
        <f t="shared" si="4"/>
        <v>8</v>
      </c>
      <c r="R25" s="1077"/>
      <c r="S25" s="1078"/>
      <c r="T25" s="404">
        <f>(Q25*1)+S25</f>
        <v>8</v>
      </c>
      <c r="U25" s="402">
        <f t="shared" si="2"/>
        <v>8</v>
      </c>
      <c r="V25" s="214" t="s">
        <v>317</v>
      </c>
    </row>
    <row r="26" spans="1:23" x14ac:dyDescent="0.25">
      <c r="B26" s="769"/>
      <c r="C26" s="627"/>
      <c r="D26" s="48"/>
      <c r="E26" s="85" t="s">
        <v>246</v>
      </c>
      <c r="F26" s="73" t="s">
        <v>161</v>
      </c>
      <c r="G26" s="616" t="s">
        <v>199</v>
      </c>
      <c r="H26" s="869"/>
      <c r="I26" s="875">
        <f t="shared" si="3"/>
        <v>150</v>
      </c>
      <c r="J26" s="640">
        <v>19.826086956521738</v>
      </c>
      <c r="K26" s="63">
        <f t="shared" si="0"/>
        <v>7.5657894736842106</v>
      </c>
      <c r="L26" s="714">
        <f t="shared" si="1"/>
        <v>8</v>
      </c>
      <c r="M26" s="1051">
        <f>ROUNDDOWN(L26/1,0)</f>
        <v>8</v>
      </c>
      <c r="N26" s="1052"/>
      <c r="O26" s="1053"/>
      <c r="Q26" s="1076">
        <f t="shared" si="4"/>
        <v>8</v>
      </c>
      <c r="R26" s="1077"/>
      <c r="S26" s="1078"/>
      <c r="T26" s="404">
        <f>(Q26*1)+S26</f>
        <v>8</v>
      </c>
      <c r="U26" s="402">
        <f t="shared" si="2"/>
        <v>8</v>
      </c>
      <c r="V26" s="214" t="s">
        <v>317</v>
      </c>
    </row>
    <row r="27" spans="1:23" x14ac:dyDescent="0.25">
      <c r="B27" s="769"/>
      <c r="C27" s="627"/>
      <c r="D27" s="48"/>
      <c r="E27" s="85" t="s">
        <v>242</v>
      </c>
      <c r="F27" s="73" t="s">
        <v>98</v>
      </c>
      <c r="G27" s="616" t="s">
        <v>199</v>
      </c>
      <c r="H27" s="869"/>
      <c r="I27" s="875">
        <f t="shared" si="3"/>
        <v>150</v>
      </c>
      <c r="J27" s="640">
        <v>19.826086956521738</v>
      </c>
      <c r="K27" s="63">
        <f t="shared" si="0"/>
        <v>7.5657894736842106</v>
      </c>
      <c r="L27" s="714">
        <f t="shared" si="1"/>
        <v>8</v>
      </c>
      <c r="M27" s="1051">
        <f>ROUNDDOWN(L27/1,0)</f>
        <v>8</v>
      </c>
      <c r="N27" s="1052"/>
      <c r="O27" s="1053"/>
      <c r="Q27" s="1076">
        <f t="shared" si="4"/>
        <v>8</v>
      </c>
      <c r="R27" s="1077"/>
      <c r="S27" s="1078"/>
      <c r="T27" s="404">
        <f>(Q27*1)+S27</f>
        <v>8</v>
      </c>
      <c r="U27" s="402">
        <f t="shared" si="2"/>
        <v>8</v>
      </c>
      <c r="V27" s="214" t="s">
        <v>317</v>
      </c>
    </row>
    <row r="28" spans="1:23" ht="18" x14ac:dyDescent="0.2">
      <c r="B28" s="769"/>
      <c r="C28" s="627"/>
      <c r="D28" s="48"/>
      <c r="E28" s="723" t="s">
        <v>249</v>
      </c>
      <c r="F28" s="310" t="s">
        <v>137</v>
      </c>
      <c r="G28" s="724" t="s">
        <v>5</v>
      </c>
      <c r="H28" s="939"/>
      <c r="I28" s="875">
        <f t="shared" si="3"/>
        <v>150</v>
      </c>
      <c r="J28" s="643">
        <v>0.5</v>
      </c>
      <c r="K28" s="63">
        <f t="shared" si="0"/>
        <v>300</v>
      </c>
      <c r="L28" s="714">
        <f t="shared" si="1"/>
        <v>300</v>
      </c>
      <c r="M28" s="502">
        <f>ROUNDDOWN(L28/112,0)</f>
        <v>2</v>
      </c>
      <c r="N28" s="503" t="s">
        <v>193</v>
      </c>
      <c r="O28" s="504">
        <f>MOD(L28,112)</f>
        <v>76</v>
      </c>
      <c r="Q28" s="848">
        <f t="shared" si="4"/>
        <v>2</v>
      </c>
      <c r="R28" s="805" t="s">
        <v>193</v>
      </c>
      <c r="S28" s="849">
        <f>O28</f>
        <v>76</v>
      </c>
      <c r="T28" s="404">
        <f>(Q28*112)+S28</f>
        <v>300</v>
      </c>
      <c r="U28" s="402">
        <f>T28*J28</f>
        <v>150</v>
      </c>
      <c r="V28" s="546" t="s">
        <v>312</v>
      </c>
      <c r="W28" s="509"/>
    </row>
    <row r="29" spans="1:23" x14ac:dyDescent="0.25">
      <c r="B29" s="769"/>
      <c r="C29" s="627"/>
      <c r="D29" s="48"/>
      <c r="E29" s="85" t="s">
        <v>240</v>
      </c>
      <c r="F29" s="310" t="s">
        <v>96</v>
      </c>
      <c r="G29" s="616" t="s">
        <v>199</v>
      </c>
      <c r="H29" s="939"/>
      <c r="I29" s="875">
        <f t="shared" si="3"/>
        <v>150</v>
      </c>
      <c r="J29" s="640">
        <v>21.739130434782609</v>
      </c>
      <c r="K29" s="63">
        <f t="shared" si="0"/>
        <v>6.8999999999999995</v>
      </c>
      <c r="L29" s="714">
        <f t="shared" si="1"/>
        <v>7</v>
      </c>
      <c r="M29" s="1051">
        <f>ROUNDDOWN(L29/1,0)</f>
        <v>7</v>
      </c>
      <c r="N29" s="1052"/>
      <c r="O29" s="1053"/>
      <c r="Q29" s="1076">
        <f t="shared" si="4"/>
        <v>7</v>
      </c>
      <c r="R29" s="1077"/>
      <c r="S29" s="1078"/>
      <c r="T29" s="404">
        <f>(Q29*1)+S29</f>
        <v>7</v>
      </c>
      <c r="U29" s="402">
        <f t="shared" si="2"/>
        <v>7</v>
      </c>
      <c r="V29" s="214" t="s">
        <v>317</v>
      </c>
    </row>
    <row r="30" spans="1:23" x14ac:dyDescent="0.25">
      <c r="B30" s="769"/>
      <c r="C30" s="627"/>
      <c r="D30" s="48"/>
      <c r="E30" s="85" t="s">
        <v>241</v>
      </c>
      <c r="F30" s="310" t="s">
        <v>97</v>
      </c>
      <c r="G30" s="616" t="s">
        <v>199</v>
      </c>
      <c r="H30" s="939"/>
      <c r="I30" s="875">
        <f t="shared" si="3"/>
        <v>150</v>
      </c>
      <c r="J30" s="640">
        <v>43.478260869565219</v>
      </c>
      <c r="K30" s="63">
        <f t="shared" si="0"/>
        <v>3.4499999999999997</v>
      </c>
      <c r="L30" s="714">
        <f t="shared" si="1"/>
        <v>4</v>
      </c>
      <c r="M30" s="1051">
        <f>ROUNDDOWN(L30/1,0)</f>
        <v>4</v>
      </c>
      <c r="N30" s="1052"/>
      <c r="O30" s="1053"/>
      <c r="Q30" s="1076">
        <f t="shared" si="4"/>
        <v>4</v>
      </c>
      <c r="R30" s="1077"/>
      <c r="S30" s="1078"/>
      <c r="T30" s="404">
        <f>(Q30*1)+S30</f>
        <v>4</v>
      </c>
      <c r="U30" s="402">
        <f t="shared" si="2"/>
        <v>4</v>
      </c>
      <c r="V30" s="214" t="s">
        <v>317</v>
      </c>
    </row>
    <row r="31" spans="1:23" x14ac:dyDescent="0.25">
      <c r="B31" s="769"/>
      <c r="C31" s="627"/>
      <c r="D31" s="48"/>
      <c r="E31" s="85" t="s">
        <v>242</v>
      </c>
      <c r="F31" s="310" t="s">
        <v>98</v>
      </c>
      <c r="G31" s="616" t="s">
        <v>199</v>
      </c>
      <c r="H31" s="939"/>
      <c r="I31" s="875">
        <f t="shared" si="3"/>
        <v>150</v>
      </c>
      <c r="J31" s="640">
        <v>21.739130434782609</v>
      </c>
      <c r="K31" s="63">
        <f t="shared" si="0"/>
        <v>6.8999999999999995</v>
      </c>
      <c r="L31" s="714">
        <f t="shared" si="1"/>
        <v>7</v>
      </c>
      <c r="M31" s="1051">
        <f>ROUNDDOWN(L31/1,0)</f>
        <v>7</v>
      </c>
      <c r="N31" s="1052"/>
      <c r="O31" s="1053"/>
      <c r="Q31" s="1076">
        <f t="shared" si="4"/>
        <v>7</v>
      </c>
      <c r="R31" s="1077"/>
      <c r="S31" s="1078"/>
      <c r="T31" s="404">
        <f>(Q31*1)+S31</f>
        <v>7</v>
      </c>
      <c r="U31" s="402">
        <f t="shared" si="2"/>
        <v>7</v>
      </c>
      <c r="V31" s="214" t="s">
        <v>317</v>
      </c>
    </row>
    <row r="32" spans="1:23" ht="18" x14ac:dyDescent="0.2">
      <c r="B32" s="769"/>
      <c r="C32" s="627"/>
      <c r="D32" s="48"/>
      <c r="E32" s="723" t="s">
        <v>250</v>
      </c>
      <c r="F32" s="310" t="s">
        <v>138</v>
      </c>
      <c r="G32" s="724" t="s">
        <v>5</v>
      </c>
      <c r="H32" s="939"/>
      <c r="I32" s="875">
        <f t="shared" si="3"/>
        <v>150</v>
      </c>
      <c r="J32" s="643">
        <v>0.5</v>
      </c>
      <c r="K32" s="63">
        <f t="shared" si="0"/>
        <v>300</v>
      </c>
      <c r="L32" s="714">
        <f t="shared" si="1"/>
        <v>300</v>
      </c>
      <c r="M32" s="502">
        <f>ROUNDDOWN(L32/70,0)</f>
        <v>4</v>
      </c>
      <c r="N32" s="503" t="s">
        <v>193</v>
      </c>
      <c r="O32" s="504">
        <f>MOD(L32,70)</f>
        <v>20</v>
      </c>
      <c r="Q32" s="848">
        <f t="shared" si="4"/>
        <v>4</v>
      </c>
      <c r="R32" s="805" t="s">
        <v>193</v>
      </c>
      <c r="S32" s="849">
        <f>O32</f>
        <v>20</v>
      </c>
      <c r="T32" s="404">
        <f>(Q32*70)+S32</f>
        <v>300</v>
      </c>
      <c r="U32" s="402">
        <f>T32*J32</f>
        <v>150</v>
      </c>
      <c r="V32" s="546" t="s">
        <v>312</v>
      </c>
      <c r="W32" s="509"/>
    </row>
    <row r="33" spans="1:24" x14ac:dyDescent="0.25">
      <c r="B33" s="769"/>
      <c r="C33" s="629"/>
      <c r="D33" s="48"/>
      <c r="E33" s="85" t="s">
        <v>243</v>
      </c>
      <c r="F33" s="310" t="s">
        <v>158</v>
      </c>
      <c r="G33" s="616" t="s">
        <v>199</v>
      </c>
      <c r="H33" s="939"/>
      <c r="I33" s="875">
        <f t="shared" si="3"/>
        <v>150</v>
      </c>
      <c r="J33" s="640">
        <v>21.739130434782609</v>
      </c>
      <c r="K33" s="63">
        <f t="shared" si="0"/>
        <v>6.8999999999999995</v>
      </c>
      <c r="L33" s="714">
        <f t="shared" si="1"/>
        <v>7</v>
      </c>
      <c r="M33" s="1051">
        <f>ROUNDDOWN(L33/1,0)</f>
        <v>7</v>
      </c>
      <c r="N33" s="1052"/>
      <c r="O33" s="1053"/>
      <c r="Q33" s="1076">
        <f t="shared" si="4"/>
        <v>7</v>
      </c>
      <c r="R33" s="1077"/>
      <c r="S33" s="1078"/>
      <c r="T33" s="404">
        <f>(Q33*1)+S33</f>
        <v>7</v>
      </c>
      <c r="U33" s="402">
        <f t="shared" si="2"/>
        <v>7</v>
      </c>
      <c r="V33" s="214" t="s">
        <v>317</v>
      </c>
    </row>
    <row r="34" spans="1:24" x14ac:dyDescent="0.25">
      <c r="B34" s="769"/>
      <c r="C34" s="629"/>
      <c r="D34" s="48"/>
      <c r="E34" s="85" t="s">
        <v>25</v>
      </c>
      <c r="F34" s="310" t="s">
        <v>159</v>
      </c>
      <c r="G34" s="616" t="s">
        <v>199</v>
      </c>
      <c r="H34" s="939"/>
      <c r="I34" s="875">
        <f t="shared" si="3"/>
        <v>150</v>
      </c>
      <c r="J34" s="640">
        <v>21.739130434782609</v>
      </c>
      <c r="K34" s="63">
        <f t="shared" si="0"/>
        <v>6.8999999999999995</v>
      </c>
      <c r="L34" s="714">
        <f t="shared" si="1"/>
        <v>7</v>
      </c>
      <c r="M34" s="1051">
        <f>ROUNDDOWN(L34/1,0)</f>
        <v>7</v>
      </c>
      <c r="N34" s="1052"/>
      <c r="O34" s="1053"/>
      <c r="Q34" s="1076">
        <f t="shared" si="4"/>
        <v>7</v>
      </c>
      <c r="R34" s="1077"/>
      <c r="S34" s="1078"/>
      <c r="T34" s="404">
        <f>(Q34*1)+S34</f>
        <v>7</v>
      </c>
      <c r="U34" s="402">
        <f t="shared" si="2"/>
        <v>7</v>
      </c>
      <c r="V34" s="214" t="s">
        <v>317</v>
      </c>
    </row>
    <row r="35" spans="1:24" x14ac:dyDescent="0.25">
      <c r="B35" s="769"/>
      <c r="C35" s="629"/>
      <c r="D35" s="48"/>
      <c r="E35" s="85" t="s">
        <v>244</v>
      </c>
      <c r="F35" s="310" t="s">
        <v>98</v>
      </c>
      <c r="G35" s="616" t="s">
        <v>199</v>
      </c>
      <c r="H35" s="939"/>
      <c r="I35" s="875">
        <f t="shared" si="3"/>
        <v>150</v>
      </c>
      <c r="J35" s="640">
        <v>21.739130434782609</v>
      </c>
      <c r="K35" s="63">
        <f t="shared" si="0"/>
        <v>6.8999999999999995</v>
      </c>
      <c r="L35" s="714">
        <f t="shared" si="1"/>
        <v>7</v>
      </c>
      <c r="M35" s="1051">
        <f>ROUNDDOWN(L35/1,0)</f>
        <v>7</v>
      </c>
      <c r="N35" s="1052"/>
      <c r="O35" s="1053"/>
      <c r="Q35" s="1076">
        <f t="shared" si="4"/>
        <v>7</v>
      </c>
      <c r="R35" s="1077"/>
      <c r="S35" s="1078"/>
      <c r="T35" s="404">
        <f>(Q35*1)+S35</f>
        <v>7</v>
      </c>
      <c r="U35" s="402">
        <f t="shared" si="2"/>
        <v>7</v>
      </c>
      <c r="V35" s="214" t="s">
        <v>317</v>
      </c>
    </row>
    <row r="36" spans="1:24" x14ac:dyDescent="0.2">
      <c r="B36" s="771"/>
      <c r="C36" s="631"/>
      <c r="D36" s="471"/>
      <c r="E36" s="467" t="s">
        <v>50</v>
      </c>
      <c r="F36" s="717"/>
      <c r="G36" s="642"/>
      <c r="H36" s="911"/>
      <c r="I36" s="878">
        <f t="shared" si="3"/>
        <v>150</v>
      </c>
      <c r="J36" s="713"/>
      <c r="K36" s="674"/>
      <c r="L36" s="716">
        <f t="shared" si="1"/>
        <v>0</v>
      </c>
      <c r="M36" s="505"/>
      <c r="N36" s="507"/>
      <c r="O36" s="506"/>
      <c r="Q36" s="940"/>
      <c r="R36" s="940"/>
      <c r="S36" s="940"/>
      <c r="T36" s="385"/>
      <c r="U36" s="431"/>
      <c r="V36" s="652"/>
    </row>
    <row r="37" spans="1:24" x14ac:dyDescent="0.2">
      <c r="B37" s="769"/>
      <c r="C37" s="629"/>
      <c r="D37" s="48"/>
      <c r="E37" s="85" t="s">
        <v>23</v>
      </c>
      <c r="F37" s="73" t="s">
        <v>84</v>
      </c>
      <c r="G37" s="616" t="s">
        <v>3</v>
      </c>
      <c r="H37" s="869">
        <v>3</v>
      </c>
      <c r="I37" s="875">
        <f t="shared" si="3"/>
        <v>150</v>
      </c>
      <c r="J37" s="594">
        <f>17/H37</f>
        <v>5.666666666666667</v>
      </c>
      <c r="K37" s="63">
        <f t="shared" si="0"/>
        <v>26.470588235294116</v>
      </c>
      <c r="L37" s="714">
        <f t="shared" si="1"/>
        <v>27</v>
      </c>
      <c r="M37" s="502">
        <f>ROUNDDOWN(L37/48,0)</f>
        <v>0</v>
      </c>
      <c r="N37" s="503" t="s">
        <v>193</v>
      </c>
      <c r="O37" s="504">
        <f>MOD(L37,48)</f>
        <v>27</v>
      </c>
      <c r="Q37" s="848">
        <f>M37</f>
        <v>0</v>
      </c>
      <c r="R37" s="805" t="s">
        <v>193</v>
      </c>
      <c r="S37" s="849">
        <f>O37</f>
        <v>27</v>
      </c>
      <c r="T37" s="404">
        <f>(Q37*48)+S37</f>
        <v>27</v>
      </c>
      <c r="U37" s="402">
        <f t="shared" si="2"/>
        <v>27</v>
      </c>
      <c r="V37" s="214" t="s">
        <v>3</v>
      </c>
    </row>
    <row r="38" spans="1:24" x14ac:dyDescent="0.2">
      <c r="B38" s="766"/>
      <c r="C38" s="633"/>
      <c r="D38" s="567"/>
      <c r="E38" s="579" t="s">
        <v>341</v>
      </c>
      <c r="F38" s="1026" t="s">
        <v>412</v>
      </c>
      <c r="G38" s="592" t="s">
        <v>198</v>
      </c>
      <c r="H38" s="1027"/>
      <c r="I38" s="875">
        <f t="shared" si="3"/>
        <v>150</v>
      </c>
      <c r="J38" s="594">
        <v>45</v>
      </c>
      <c r="K38" s="63">
        <f t="shared" si="0"/>
        <v>3.3333333333333335</v>
      </c>
      <c r="L38" s="714">
        <f t="shared" si="1"/>
        <v>4</v>
      </c>
      <c r="M38" s="1051">
        <f>ROUNDDOWN(L38/1,0)</f>
        <v>4</v>
      </c>
      <c r="N38" s="1052"/>
      <c r="O38" s="1053"/>
      <c r="P38" s="124"/>
      <c r="Q38" s="1076">
        <f>M38</f>
        <v>4</v>
      </c>
      <c r="R38" s="1077"/>
      <c r="S38" s="1078"/>
      <c r="T38" s="404">
        <f>(Q38*50)+S38</f>
        <v>200</v>
      </c>
      <c r="U38" s="402">
        <f t="shared" si="2"/>
        <v>200</v>
      </c>
      <c r="V38" s="546" t="s">
        <v>316</v>
      </c>
      <c r="W38" s="391"/>
      <c r="X38" s="124"/>
    </row>
    <row r="39" spans="1:24" x14ac:dyDescent="0.2">
      <c r="B39" s="769"/>
      <c r="C39" s="629"/>
      <c r="D39" s="48"/>
      <c r="E39" s="581" t="s">
        <v>363</v>
      </c>
      <c r="F39" s="73" t="s">
        <v>73</v>
      </c>
      <c r="G39" s="616" t="s">
        <v>198</v>
      </c>
      <c r="H39" s="869"/>
      <c r="I39" s="875">
        <f t="shared" si="3"/>
        <v>150</v>
      </c>
      <c r="J39" s="594">
        <v>90</v>
      </c>
      <c r="K39" s="63">
        <f t="shared" si="0"/>
        <v>1.6666666666666667</v>
      </c>
      <c r="L39" s="714">
        <f t="shared" si="1"/>
        <v>2</v>
      </c>
      <c r="M39" s="1051">
        <f>ROUNDDOWN(L39/1,0)</f>
        <v>2</v>
      </c>
      <c r="N39" s="1052"/>
      <c r="O39" s="1053"/>
      <c r="Q39" s="1076">
        <f>M39</f>
        <v>2</v>
      </c>
      <c r="R39" s="1077"/>
      <c r="S39" s="1078"/>
      <c r="T39" s="404">
        <f>(Q39*100)+S39</f>
        <v>200</v>
      </c>
      <c r="U39" s="402">
        <f>T39</f>
        <v>200</v>
      </c>
      <c r="V39" s="546" t="s">
        <v>316</v>
      </c>
    </row>
    <row r="40" spans="1:24" x14ac:dyDescent="0.2">
      <c r="B40" s="772"/>
      <c r="C40" s="653"/>
      <c r="D40" s="621"/>
      <c r="E40" s="1047" t="s">
        <v>364</v>
      </c>
      <c r="F40" s="705" t="s">
        <v>77</v>
      </c>
      <c r="G40" s="654" t="s">
        <v>198</v>
      </c>
      <c r="H40" s="871"/>
      <c r="I40" s="902">
        <f t="shared" si="3"/>
        <v>150</v>
      </c>
      <c r="J40" s="655">
        <v>31.5</v>
      </c>
      <c r="K40" s="672">
        <f t="shared" si="0"/>
        <v>4.7619047619047619</v>
      </c>
      <c r="L40" s="1028">
        <f t="shared" si="1"/>
        <v>5</v>
      </c>
      <c r="M40" s="1094">
        <f>ROUNDDOWN(L40/1,0)</f>
        <v>5</v>
      </c>
      <c r="N40" s="1095"/>
      <c r="O40" s="1096"/>
      <c r="Q40" s="1097">
        <f>M40</f>
        <v>5</v>
      </c>
      <c r="R40" s="1098"/>
      <c r="S40" s="1099"/>
      <c r="T40" s="377">
        <f>(Q40*35)+S40</f>
        <v>175</v>
      </c>
      <c r="U40" s="601">
        <f>T40</f>
        <v>175</v>
      </c>
      <c r="V40" s="547" t="s">
        <v>316</v>
      </c>
    </row>
    <row r="41" spans="1:24" x14ac:dyDescent="0.2">
      <c r="B41" s="235"/>
      <c r="C41" s="235"/>
      <c r="D41" s="235"/>
      <c r="E41" s="226"/>
      <c r="F41" s="238"/>
      <c r="G41" s="229"/>
      <c r="H41" s="496"/>
      <c r="I41" s="221"/>
      <c r="J41" s="239"/>
      <c r="K41" s="222"/>
    </row>
    <row r="42" spans="1:24" x14ac:dyDescent="0.2">
      <c r="B42" s="43" t="s">
        <v>42</v>
      </c>
      <c r="C42" s="43"/>
      <c r="D42" s="43"/>
      <c r="E42" s="50"/>
      <c r="F42" s="43"/>
      <c r="G42" s="50"/>
      <c r="H42" s="497"/>
      <c r="I42" s="47"/>
      <c r="J42" s="46"/>
      <c r="K42" s="77"/>
    </row>
    <row r="43" spans="1:24" x14ac:dyDescent="0.2">
      <c r="B43" s="43"/>
      <c r="C43" s="43"/>
      <c r="D43" s="43"/>
      <c r="E43" s="50"/>
      <c r="F43" s="43"/>
      <c r="G43" s="50"/>
      <c r="H43" s="497"/>
      <c r="I43" s="47"/>
      <c r="J43" s="46"/>
      <c r="K43" s="77"/>
    </row>
    <row r="44" spans="1:24" x14ac:dyDescent="0.2">
      <c r="B44" s="933"/>
      <c r="C44" s="933"/>
      <c r="D44" s="933"/>
      <c r="E44" s="890"/>
      <c r="F44" s="934"/>
      <c r="G44" s="935"/>
      <c r="H44" s="936"/>
      <c r="I44" s="937"/>
      <c r="J44" s="935"/>
      <c r="K44" s="938"/>
    </row>
    <row r="45" spans="1:24" x14ac:dyDescent="0.2">
      <c r="B45" s="933"/>
      <c r="C45" s="933"/>
      <c r="D45" s="933"/>
      <c r="E45" s="890"/>
      <c r="F45" s="934"/>
      <c r="G45" s="935"/>
      <c r="H45" s="936"/>
      <c r="I45" s="937"/>
      <c r="J45" s="935"/>
      <c r="K45" s="938"/>
    </row>
    <row r="46" spans="1:24" x14ac:dyDescent="0.2">
      <c r="B46" s="933"/>
      <c r="C46" s="933"/>
      <c r="D46" s="933"/>
      <c r="E46" s="890"/>
      <c r="F46" s="934"/>
      <c r="G46" s="935"/>
      <c r="H46" s="936"/>
      <c r="I46" s="937"/>
      <c r="J46" s="935"/>
      <c r="K46" s="938"/>
    </row>
    <row r="47" spans="1:24" x14ac:dyDescent="0.2">
      <c r="B47" s="235"/>
      <c r="C47" s="235"/>
      <c r="D47" s="235"/>
      <c r="E47" s="237"/>
      <c r="F47" s="238"/>
      <c r="G47" s="229"/>
      <c r="H47" s="498"/>
      <c r="I47" s="221"/>
      <c r="J47" s="239"/>
      <c r="K47" s="222"/>
    </row>
    <row r="48" spans="1:24" x14ac:dyDescent="0.2">
      <c r="A48" s="303"/>
      <c r="B48" s="277"/>
      <c r="C48" s="277"/>
      <c r="D48" s="277"/>
      <c r="E48" s="279">
        <v>0.4</v>
      </c>
      <c r="F48" s="280"/>
      <c r="G48" s="281">
        <v>1.1499999999999999</v>
      </c>
      <c r="H48" s="499"/>
      <c r="I48" s="221"/>
      <c r="J48" s="304"/>
      <c r="K48" s="222"/>
    </row>
    <row r="49" spans="1:11" x14ac:dyDescent="0.2">
      <c r="A49" s="303"/>
      <c r="B49" s="277"/>
      <c r="C49" s="277"/>
      <c r="D49" s="277"/>
      <c r="E49" s="279">
        <v>0.4</v>
      </c>
      <c r="F49" s="280"/>
      <c r="G49" s="281">
        <v>1.1499999999999999</v>
      </c>
      <c r="H49" s="499"/>
      <c r="I49" s="221"/>
      <c r="J49" s="304"/>
      <c r="K49" s="222"/>
    </row>
    <row r="50" spans="1:11" x14ac:dyDescent="0.2">
      <c r="A50" s="305"/>
      <c r="B50" s="306"/>
      <c r="C50" s="306"/>
      <c r="D50" s="306"/>
      <c r="E50" s="307"/>
      <c r="F50" s="308"/>
      <c r="G50" s="309"/>
      <c r="H50" s="499"/>
      <c r="I50" s="221"/>
      <c r="J50" s="304"/>
      <c r="K50" s="222"/>
    </row>
    <row r="51" spans="1:11" x14ac:dyDescent="0.2">
      <c r="B51" s="235"/>
      <c r="C51" s="235"/>
      <c r="D51" s="235"/>
      <c r="E51" s="237"/>
      <c r="F51" s="238"/>
      <c r="G51" s="229"/>
      <c r="H51" s="498"/>
      <c r="I51" s="221"/>
      <c r="J51" s="239"/>
      <c r="K51" s="222"/>
    </row>
    <row r="52" spans="1:11" x14ac:dyDescent="0.2">
      <c r="B52" s="235"/>
      <c r="C52" s="235"/>
      <c r="D52" s="235"/>
      <c r="E52" s="237"/>
      <c r="F52" s="238"/>
      <c r="G52" s="229"/>
      <c r="H52" s="498"/>
      <c r="I52" s="221"/>
      <c r="J52" s="239"/>
      <c r="K52" s="222"/>
    </row>
    <row r="53" spans="1:11" x14ac:dyDescent="0.2">
      <c r="B53" s="235"/>
      <c r="C53" s="235"/>
      <c r="D53" s="235"/>
      <c r="E53" s="237"/>
      <c r="F53" s="238"/>
      <c r="G53" s="229"/>
      <c r="H53" s="498"/>
      <c r="I53" s="221"/>
      <c r="J53" s="239"/>
      <c r="K53" s="222"/>
    </row>
    <row r="54" spans="1:11" x14ac:dyDescent="0.2">
      <c r="B54" s="270"/>
      <c r="C54" s="270"/>
      <c r="D54" s="270"/>
      <c r="E54" s="271"/>
      <c r="F54" s="272"/>
      <c r="G54" s="273"/>
      <c r="H54" s="500"/>
      <c r="I54" s="274"/>
      <c r="J54" s="273"/>
      <c r="K54" s="275"/>
    </row>
    <row r="55" spans="1:11" x14ac:dyDescent="0.2">
      <c r="B55" s="238"/>
      <c r="C55" s="238"/>
      <c r="D55" s="238"/>
      <c r="E55" s="227"/>
      <c r="F55" s="534"/>
      <c r="G55" s="229"/>
      <c r="H55" s="501"/>
      <c r="I55" s="230"/>
      <c r="J55" s="229"/>
      <c r="K55" s="222"/>
    </row>
    <row r="56" spans="1:11" x14ac:dyDescent="0.2">
      <c r="B56" s="238"/>
      <c r="C56" s="238"/>
      <c r="D56" s="238"/>
      <c r="E56" s="227"/>
      <c r="F56" s="534"/>
      <c r="G56" s="229"/>
      <c r="H56" s="501"/>
      <c r="I56" s="230"/>
      <c r="J56" s="229"/>
      <c r="K56" s="222"/>
    </row>
    <row r="57" spans="1:11" x14ac:dyDescent="0.2">
      <c r="B57" s="238"/>
      <c r="C57" s="238"/>
      <c r="D57" s="238"/>
      <c r="E57" s="227"/>
      <c r="F57" s="534"/>
      <c r="G57" s="229"/>
      <c r="H57" s="501"/>
      <c r="I57" s="230"/>
      <c r="J57" s="229"/>
      <c r="K57" s="222"/>
    </row>
    <row r="58" spans="1:11" x14ac:dyDescent="0.2">
      <c r="B58" s="238"/>
      <c r="C58" s="238"/>
      <c r="D58" s="238"/>
      <c r="E58" s="227"/>
      <c r="F58" s="534"/>
      <c r="G58" s="229"/>
      <c r="H58" s="501"/>
      <c r="I58" s="230"/>
      <c r="J58" s="229"/>
      <c r="K58" s="222"/>
    </row>
    <row r="59" spans="1:11" x14ac:dyDescent="0.2">
      <c r="B59" s="238"/>
      <c r="C59" s="238"/>
      <c r="D59" s="238"/>
      <c r="E59" s="227"/>
      <c r="F59" s="534"/>
      <c r="G59" s="229"/>
      <c r="H59" s="501"/>
      <c r="I59" s="230"/>
      <c r="J59" s="229"/>
      <c r="K59" s="222"/>
    </row>
    <row r="60" spans="1:11" x14ac:dyDescent="0.2">
      <c r="B60" s="238"/>
      <c r="C60" s="238"/>
      <c r="D60" s="238"/>
      <c r="E60" s="227"/>
      <c r="F60" s="534"/>
      <c r="G60" s="229"/>
      <c r="H60" s="501"/>
      <c r="I60" s="230"/>
      <c r="J60" s="229"/>
      <c r="K60" s="222"/>
    </row>
  </sheetData>
  <sheetProtection insertRows="0"/>
  <protectedRanges>
    <protectedRange sqref="B1:D1" name="Bereich1_1_1_1_1_1_1_1_1"/>
    <protectedRange sqref="B2:D2 A1:A3" name="Bereich1_1_1_1_1_1_1_1"/>
    <protectedRange sqref="E1:K3" name="Bereich1_1_1_1_1_1_1_1_5"/>
    <protectedRange sqref="A4" name="Bereich1_1_1_1_1_1_1_1_4_1"/>
    <protectedRange sqref="B4:D4" name="Bereich1_1_1_1_1_1_1_1_3_1_1_1"/>
    <protectedRange sqref="G4" name="Bereich1_1_1_1_1_1_1_1_3_1_2"/>
    <protectedRange sqref="E4" name="Bereich1_1_1_1_1_1_1_1_3_1_4"/>
    <protectedRange sqref="F4" name="Bereich1_1_1_1_1_1_1_1_3_1_5"/>
    <protectedRange sqref="J4" name="Bereich1_1_1_1_1_1_1_1_3_1_8"/>
    <protectedRange sqref="H4" name="Bereich1_1_1_1_1_1_1_1_3_1_2_1"/>
    <protectedRange sqref="I4" name="Bereich1_1_1_1_1_1_1_1_3_1_6"/>
    <protectedRange sqref="K4" name="Bereich1_1_1_1_1_1_1_1_3_1_2_1_1"/>
    <protectedRange sqref="L1:L3" name="Bereich1_1_1_1_1_1_1_1_5_1"/>
    <protectedRange sqref="L4" name="Bereich1_1_1_1_1_1_1_1_3_1_2_3"/>
    <protectedRange sqref="T4" name="Bereich1_1_1_1_1_1_1_1_3_1_2_4"/>
  </protectedRanges>
  <mergeCells count="64">
    <mergeCell ref="M38:O38"/>
    <mergeCell ref="Q38:S38"/>
    <mergeCell ref="U4:U5"/>
    <mergeCell ref="J4:J5"/>
    <mergeCell ref="H4:H5"/>
    <mergeCell ref="I4:I5"/>
    <mergeCell ref="T4:T5"/>
    <mergeCell ref="M8:O8"/>
    <mergeCell ref="Q8:S8"/>
    <mergeCell ref="M9:O9"/>
    <mergeCell ref="Q9:S9"/>
    <mergeCell ref="M10:O10"/>
    <mergeCell ref="Q10:S10"/>
    <mergeCell ref="M12:O12"/>
    <mergeCell ref="Q12:S12"/>
    <mergeCell ref="M13:O13"/>
    <mergeCell ref="B4:B5"/>
    <mergeCell ref="C4:C5"/>
    <mergeCell ref="D4:D5"/>
    <mergeCell ref="E4:E5"/>
    <mergeCell ref="F4:F5"/>
    <mergeCell ref="G4:G5"/>
    <mergeCell ref="K4:K5"/>
    <mergeCell ref="L4:L5"/>
    <mergeCell ref="M4:O4"/>
    <mergeCell ref="Q4:S4"/>
    <mergeCell ref="Q13:S13"/>
    <mergeCell ref="Q31:S31"/>
    <mergeCell ref="Q18:S18"/>
    <mergeCell ref="Q25:S25"/>
    <mergeCell ref="Q26:S26"/>
    <mergeCell ref="Q27:S27"/>
    <mergeCell ref="Q33:S33"/>
    <mergeCell ref="M15:O15"/>
    <mergeCell ref="M21:O21"/>
    <mergeCell ref="Q21:S21"/>
    <mergeCell ref="M22:O22"/>
    <mergeCell ref="Q22:S22"/>
    <mergeCell ref="Q15:S15"/>
    <mergeCell ref="M30:O30"/>
    <mergeCell ref="M25:O25"/>
    <mergeCell ref="M26:O26"/>
    <mergeCell ref="M27:O27"/>
    <mergeCell ref="M29:O29"/>
    <mergeCell ref="Q17:S17"/>
    <mergeCell ref="M17:O17"/>
    <mergeCell ref="M18:O18"/>
    <mergeCell ref="M19:O19"/>
    <mergeCell ref="V4:V5"/>
    <mergeCell ref="M40:O40"/>
    <mergeCell ref="M31:O31"/>
    <mergeCell ref="Q29:S29"/>
    <mergeCell ref="M23:O23"/>
    <mergeCell ref="Q23:S23"/>
    <mergeCell ref="Q30:S30"/>
    <mergeCell ref="Q19:S19"/>
    <mergeCell ref="Q35:S35"/>
    <mergeCell ref="Q39:S39"/>
    <mergeCell ref="Q40:S40"/>
    <mergeCell ref="M39:O39"/>
    <mergeCell ref="M35:O35"/>
    <mergeCell ref="M33:O33"/>
    <mergeCell ref="M34:O34"/>
    <mergeCell ref="Q34:S34"/>
  </mergeCells>
  <pageMargins left="0.25" right="0.25" top="0.75" bottom="0.75" header="0.3" footer="0.3"/>
  <pageSetup paperSize="9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09B9D-02CA-45EB-BBFB-058B14B8B071}">
  <sheetPr>
    <pageSetUpPr fitToPage="1"/>
  </sheetPr>
  <dimension ref="A1:V40"/>
  <sheetViews>
    <sheetView topLeftCell="B6" zoomScaleNormal="100" workbookViewId="0">
      <selection activeCell="J18" sqref="J18"/>
    </sheetView>
  </sheetViews>
  <sheetFormatPr baseColWidth="10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49.28515625" style="36" customWidth="1"/>
    <col min="6" max="6" width="12.7109375" style="37" customWidth="1"/>
    <col min="7" max="7" width="12.7109375" style="31" customWidth="1"/>
    <col min="8" max="8" width="10.7109375" style="494" customWidth="1"/>
    <col min="9" max="9" width="10.7109375" style="28" customWidth="1"/>
    <col min="10" max="10" width="10.7109375" style="31" customWidth="1"/>
    <col min="11" max="11" width="10.7109375" style="30" customWidth="1"/>
    <col min="12" max="12" width="12.5703125" style="38" customWidth="1"/>
    <col min="13" max="13" width="8.85546875" style="124" bestFit="1" customWidth="1"/>
    <col min="14" max="14" width="2.140625" style="376" bestFit="1" customWidth="1"/>
    <col min="15" max="15" width="7.28515625" style="124" bestFit="1" customWidth="1"/>
    <col min="16" max="16" width="2.28515625" style="124" customWidth="1"/>
    <col min="17" max="17" width="8.85546875" style="124" bestFit="1" customWidth="1"/>
    <col min="18" max="18" width="2.140625" style="376" bestFit="1" customWidth="1"/>
    <col min="19" max="19" width="7.28515625" style="124" bestFit="1" customWidth="1"/>
    <col min="20" max="20" width="11.5703125" style="124" bestFit="1" customWidth="1"/>
    <col min="21" max="21" width="9" style="124" customWidth="1"/>
    <col min="22" max="22" width="11.42578125" style="3" customWidth="1"/>
    <col min="23" max="16384" width="11.42578125" style="3"/>
  </cols>
  <sheetData>
    <row r="1" spans="1:22" x14ac:dyDescent="0.25">
      <c r="A1" s="93"/>
      <c r="B1" s="92" t="s">
        <v>157</v>
      </c>
      <c r="C1" s="92"/>
      <c r="D1" s="92"/>
      <c r="E1" s="96"/>
      <c r="F1" s="97"/>
      <c r="G1" s="98"/>
      <c r="H1" s="791"/>
      <c r="I1" s="99"/>
      <c r="J1" s="98"/>
      <c r="K1" s="101"/>
      <c r="L1" s="102"/>
    </row>
    <row r="2" spans="1:22" x14ac:dyDescent="0.25">
      <c r="A2" s="93"/>
      <c r="B2" s="105" t="s">
        <v>40</v>
      </c>
      <c r="C2" s="105"/>
      <c r="D2" s="105"/>
      <c r="E2" s="96"/>
      <c r="F2" s="97"/>
      <c r="G2" s="98"/>
      <c r="H2" s="791"/>
      <c r="I2" s="99"/>
      <c r="J2" s="98"/>
      <c r="K2" s="101"/>
      <c r="L2" s="102"/>
    </row>
    <row r="3" spans="1:22" ht="23.25" customHeight="1" x14ac:dyDescent="0.2">
      <c r="A3"/>
      <c r="B3" s="39" t="s">
        <v>178</v>
      </c>
      <c r="C3" s="39"/>
      <c r="D3" s="39"/>
    </row>
    <row r="4" spans="1:22" s="4" customFormat="1" ht="32.25" customHeight="1" x14ac:dyDescent="0.2">
      <c r="A4" s="6"/>
      <c r="B4" s="1068" t="s">
        <v>185</v>
      </c>
      <c r="C4" s="1069" t="s">
        <v>183</v>
      </c>
      <c r="D4" s="1068" t="s">
        <v>184</v>
      </c>
      <c r="E4" s="1067" t="s">
        <v>0</v>
      </c>
      <c r="F4" s="1070" t="s">
        <v>1</v>
      </c>
      <c r="G4" s="1101" t="s">
        <v>196</v>
      </c>
      <c r="H4" s="1082" t="s">
        <v>201</v>
      </c>
      <c r="I4" s="1083" t="s">
        <v>189</v>
      </c>
      <c r="J4" s="1067" t="s">
        <v>197</v>
      </c>
      <c r="K4" s="1060" t="s">
        <v>32</v>
      </c>
      <c r="L4" s="1061" t="s">
        <v>192</v>
      </c>
      <c r="M4" s="1062" t="s">
        <v>196</v>
      </c>
      <c r="N4" s="1062"/>
      <c r="O4" s="1063"/>
      <c r="P4" s="139"/>
      <c r="Q4" s="1064" t="s">
        <v>202</v>
      </c>
      <c r="R4" s="1065"/>
      <c r="S4" s="1066"/>
      <c r="T4" s="1058" t="s">
        <v>32</v>
      </c>
      <c r="U4" s="1059" t="s">
        <v>200</v>
      </c>
      <c r="V4" s="1057" t="s">
        <v>368</v>
      </c>
    </row>
    <row r="5" spans="1:22" ht="15" customHeight="1" thickBot="1" x14ac:dyDescent="0.25">
      <c r="A5" s="80"/>
      <c r="B5" s="1068"/>
      <c r="C5" s="1069"/>
      <c r="D5" s="1068"/>
      <c r="E5" s="1067"/>
      <c r="F5" s="1070"/>
      <c r="G5" s="1102"/>
      <c r="H5" s="1082"/>
      <c r="I5" s="1084"/>
      <c r="J5" s="1067"/>
      <c r="K5" s="1060"/>
      <c r="L5" s="1061"/>
      <c r="M5" s="561" t="s">
        <v>195</v>
      </c>
      <c r="N5" s="559"/>
      <c r="O5" s="560" t="s">
        <v>194</v>
      </c>
      <c r="P5" s="390"/>
      <c r="Q5" s="397" t="s">
        <v>195</v>
      </c>
      <c r="R5" s="403" t="s">
        <v>193</v>
      </c>
      <c r="S5" s="398" t="s">
        <v>194</v>
      </c>
      <c r="T5" s="1058"/>
      <c r="U5" s="1059"/>
      <c r="V5" s="1057"/>
    </row>
    <row r="6" spans="1:22" ht="31.5" customHeight="1" thickTop="1" thickBot="1" x14ac:dyDescent="0.25">
      <c r="A6" s="81"/>
      <c r="B6" s="325"/>
      <c r="C6" s="528"/>
      <c r="D6" s="528"/>
      <c r="E6" s="528"/>
      <c r="H6" s="792"/>
      <c r="I6" s="444">
        <v>37</v>
      </c>
      <c r="J6" s="359"/>
      <c r="L6" s="30"/>
      <c r="U6" s="390"/>
    </row>
    <row r="7" spans="1:22" ht="16.5" thickTop="1" x14ac:dyDescent="0.2">
      <c r="A7" s="81"/>
      <c r="B7" s="942"/>
      <c r="C7" s="942"/>
      <c r="D7" s="942"/>
      <c r="E7" s="739" t="s">
        <v>303</v>
      </c>
      <c r="F7" s="740"/>
      <c r="G7" s="703"/>
      <c r="H7" s="944"/>
      <c r="I7" s="733"/>
      <c r="J7" s="703"/>
      <c r="K7" s="703"/>
      <c r="L7" s="703"/>
      <c r="M7" s="741"/>
      <c r="N7" s="742"/>
      <c r="O7" s="743"/>
      <c r="P7" s="738"/>
      <c r="Q7" s="950"/>
      <c r="R7" s="951"/>
      <c r="S7" s="952"/>
      <c r="T7" s="744"/>
      <c r="U7" s="611"/>
      <c r="V7" s="745"/>
    </row>
    <row r="8" spans="1:22" x14ac:dyDescent="0.2">
      <c r="A8" s="81"/>
      <c r="B8" s="766"/>
      <c r="C8" s="725"/>
      <c r="D8" s="725"/>
      <c r="E8" s="726" t="s">
        <v>304</v>
      </c>
      <c r="F8" s="726" t="s">
        <v>55</v>
      </c>
      <c r="G8" s="593" t="s">
        <v>7</v>
      </c>
      <c r="H8" s="867"/>
      <c r="I8" s="945">
        <f>$I$6</f>
        <v>37</v>
      </c>
      <c r="J8" s="593">
        <v>2</v>
      </c>
      <c r="K8" s="734">
        <f>I8/J8</f>
        <v>18.5</v>
      </c>
      <c r="L8" s="736">
        <f>ROUNDUP(K8,0)</f>
        <v>19</v>
      </c>
      <c r="M8" s="981">
        <f>ROUNDDOWN(L8/50,0)</f>
        <v>0</v>
      </c>
      <c r="N8" s="503" t="s">
        <v>193</v>
      </c>
      <c r="O8" s="504">
        <f>MOD(L8,50)</f>
        <v>19</v>
      </c>
      <c r="P8" s="329"/>
      <c r="Q8" s="987">
        <f>M8</f>
        <v>0</v>
      </c>
      <c r="R8" s="988" t="s">
        <v>193</v>
      </c>
      <c r="S8" s="989">
        <f>O8</f>
        <v>19</v>
      </c>
      <c r="T8" s="1000">
        <f>(Q8*50)+S8</f>
        <v>19</v>
      </c>
      <c r="U8" s="778">
        <f>T8*2</f>
        <v>38</v>
      </c>
      <c r="V8" s="617" t="s">
        <v>260</v>
      </c>
    </row>
    <row r="9" spans="1:22" x14ac:dyDescent="0.2">
      <c r="A9" s="81"/>
      <c r="B9" s="766"/>
      <c r="C9" s="725"/>
      <c r="D9" s="725"/>
      <c r="E9" s="726" t="s">
        <v>305</v>
      </c>
      <c r="F9" s="726" t="s">
        <v>306</v>
      </c>
      <c r="G9" s="593" t="s">
        <v>7</v>
      </c>
      <c r="H9" s="867"/>
      <c r="I9" s="945">
        <f>$I$6</f>
        <v>37</v>
      </c>
      <c r="J9" s="593">
        <v>2</v>
      </c>
      <c r="K9" s="734">
        <f>I9/J9</f>
        <v>18.5</v>
      </c>
      <c r="L9" s="736">
        <f>ROUNDUP(K9,0)</f>
        <v>19</v>
      </c>
      <c r="M9" s="981">
        <f>ROUNDDOWN(L9/25,0)</f>
        <v>0</v>
      </c>
      <c r="N9" s="503" t="s">
        <v>193</v>
      </c>
      <c r="O9" s="504">
        <f>MOD(L9,25)</f>
        <v>19</v>
      </c>
      <c r="P9" s="329"/>
      <c r="Q9" s="987">
        <f>M9</f>
        <v>0</v>
      </c>
      <c r="R9" s="988" t="s">
        <v>193</v>
      </c>
      <c r="S9" s="989">
        <f>O9</f>
        <v>19</v>
      </c>
      <c r="T9" s="1000">
        <f>(Q9*25)+S9</f>
        <v>19</v>
      </c>
      <c r="U9" s="778">
        <f>T9*2</f>
        <v>38</v>
      </c>
      <c r="V9" s="617" t="s">
        <v>260</v>
      </c>
    </row>
    <row r="10" spans="1:22" x14ac:dyDescent="0.2">
      <c r="A10" s="83"/>
      <c r="B10" s="771"/>
      <c r="C10" s="727"/>
      <c r="D10" s="727"/>
      <c r="E10" s="728" t="s">
        <v>258</v>
      </c>
      <c r="F10" s="729"/>
      <c r="G10" s="713"/>
      <c r="H10" s="870"/>
      <c r="I10" s="946"/>
      <c r="J10" s="713"/>
      <c r="K10" s="713"/>
      <c r="L10" s="713"/>
      <c r="M10" s="507"/>
      <c r="N10" s="507"/>
      <c r="O10" s="982"/>
      <c r="P10" s="329"/>
      <c r="Q10" s="990"/>
      <c r="R10" s="991"/>
      <c r="S10" s="992"/>
      <c r="T10" s="1001"/>
      <c r="U10" s="779"/>
      <c r="V10" s="737"/>
    </row>
    <row r="11" spans="1:22" x14ac:dyDescent="0.2">
      <c r="A11" s="32"/>
      <c r="B11" s="766"/>
      <c r="C11" s="730"/>
      <c r="D11" s="730"/>
      <c r="E11" s="731" t="s">
        <v>396</v>
      </c>
      <c r="F11" s="731" t="s">
        <v>56</v>
      </c>
      <c r="G11" s="594" t="s">
        <v>198</v>
      </c>
      <c r="H11" s="869"/>
      <c r="I11" s="945">
        <f>$I$6</f>
        <v>37</v>
      </c>
      <c r="J11" s="594">
        <v>18</v>
      </c>
      <c r="K11" s="735">
        <f>I11/J11</f>
        <v>2.0555555555555554</v>
      </c>
      <c r="L11" s="735">
        <f>ROUNDUP(K11,0)</f>
        <v>3</v>
      </c>
      <c r="M11" s="1112">
        <f>ROUNDDOWN(L11/1,0)</f>
        <v>3</v>
      </c>
      <c r="N11" s="1112"/>
      <c r="O11" s="1113"/>
      <c r="P11" s="329"/>
      <c r="Q11" s="1114">
        <f>M11</f>
        <v>3</v>
      </c>
      <c r="R11" s="1115"/>
      <c r="S11" s="1116"/>
      <c r="T11" s="1002">
        <f>(Q11*1)+S11</f>
        <v>3</v>
      </c>
      <c r="U11" s="780">
        <f>T11*18</f>
        <v>54</v>
      </c>
      <c r="V11" s="617" t="s">
        <v>260</v>
      </c>
    </row>
    <row r="12" spans="1:22" x14ac:dyDescent="0.2">
      <c r="A12" s="81"/>
      <c r="B12" s="766"/>
      <c r="C12" s="730"/>
      <c r="D12" s="730"/>
      <c r="E12" s="731" t="s">
        <v>35</v>
      </c>
      <c r="F12" s="731" t="s">
        <v>114</v>
      </c>
      <c r="G12" s="594" t="s">
        <v>190</v>
      </c>
      <c r="H12" s="869">
        <v>150</v>
      </c>
      <c r="I12" s="945">
        <f>$I$6</f>
        <v>37</v>
      </c>
      <c r="J12" s="594">
        <f>1000/H12</f>
        <v>6.666666666666667</v>
      </c>
      <c r="K12" s="735">
        <f t="shared" ref="K12:K21" si="0">I12/J12</f>
        <v>5.55</v>
      </c>
      <c r="L12" s="735">
        <f t="shared" ref="L12:L21" si="1">ROUNDUP(K12,0)</f>
        <v>6</v>
      </c>
      <c r="M12" s="1112">
        <f>ROUNDDOWN(L12/1,0)</f>
        <v>6</v>
      </c>
      <c r="N12" s="1112"/>
      <c r="O12" s="1113"/>
      <c r="P12" s="329"/>
      <c r="Q12" s="1114">
        <f>M12</f>
        <v>6</v>
      </c>
      <c r="R12" s="1115"/>
      <c r="S12" s="1116"/>
      <c r="T12" s="1002">
        <f t="shared" ref="T12:T20" si="2">(Q12*1)+S12</f>
        <v>6</v>
      </c>
      <c r="U12" s="780">
        <f>T12*1</f>
        <v>6</v>
      </c>
      <c r="V12" s="617" t="s">
        <v>261</v>
      </c>
    </row>
    <row r="13" spans="1:22" x14ac:dyDescent="0.2">
      <c r="A13" s="83"/>
      <c r="B13" s="766"/>
      <c r="C13" s="730"/>
      <c r="D13" s="730"/>
      <c r="E13" s="731" t="s">
        <v>34</v>
      </c>
      <c r="F13" s="731" t="s">
        <v>115</v>
      </c>
      <c r="G13" s="594" t="s">
        <v>190</v>
      </c>
      <c r="H13" s="869">
        <v>150</v>
      </c>
      <c r="I13" s="945">
        <f>$I$6</f>
        <v>37</v>
      </c>
      <c r="J13" s="594">
        <f>900/H13</f>
        <v>6</v>
      </c>
      <c r="K13" s="735">
        <f t="shared" si="0"/>
        <v>6.166666666666667</v>
      </c>
      <c r="L13" s="735">
        <f t="shared" si="1"/>
        <v>7</v>
      </c>
      <c r="M13" s="1112">
        <f>ROUNDDOWN(L13/1,0)</f>
        <v>7</v>
      </c>
      <c r="N13" s="1112"/>
      <c r="O13" s="1113"/>
      <c r="P13" s="329"/>
      <c r="Q13" s="1114">
        <f>M13</f>
        <v>7</v>
      </c>
      <c r="R13" s="1115"/>
      <c r="S13" s="1116"/>
      <c r="T13" s="1002">
        <f t="shared" si="2"/>
        <v>7</v>
      </c>
      <c r="U13" s="780">
        <f>T13*1</f>
        <v>7</v>
      </c>
      <c r="V13" s="617" t="s">
        <v>261</v>
      </c>
    </row>
    <row r="14" spans="1:22" x14ac:dyDescent="0.2">
      <c r="A14" s="83"/>
      <c r="B14" s="771"/>
      <c r="C14" s="727"/>
      <c r="D14" s="727"/>
      <c r="E14" s="728" t="s">
        <v>257</v>
      </c>
      <c r="F14" s="729"/>
      <c r="G14" s="713"/>
      <c r="H14" s="870"/>
      <c r="I14" s="947"/>
      <c r="J14" s="713"/>
      <c r="K14" s="713"/>
      <c r="L14" s="713"/>
      <c r="M14" s="983"/>
      <c r="N14" s="507"/>
      <c r="O14" s="506"/>
      <c r="P14" s="329"/>
      <c r="Q14" s="993"/>
      <c r="R14" s="991"/>
      <c r="S14" s="994"/>
      <c r="T14" s="1001"/>
      <c r="U14" s="779"/>
      <c r="V14" s="737"/>
    </row>
    <row r="15" spans="1:22" x14ac:dyDescent="0.2">
      <c r="A15" s="76"/>
      <c r="B15" s="766"/>
      <c r="C15" s="730"/>
      <c r="D15" s="730"/>
      <c r="E15" s="732" t="s">
        <v>395</v>
      </c>
      <c r="F15" s="731" t="s">
        <v>116</v>
      </c>
      <c r="G15" s="594" t="s">
        <v>215</v>
      </c>
      <c r="H15" s="869"/>
      <c r="I15" s="945">
        <f t="shared" ref="I15:I21" si="3">$I$6</f>
        <v>37</v>
      </c>
      <c r="J15" s="594">
        <f>1/33</f>
        <v>3.0303030303030304E-2</v>
      </c>
      <c r="K15" s="735">
        <f t="shared" si="0"/>
        <v>1221</v>
      </c>
      <c r="L15" s="735">
        <f t="shared" si="1"/>
        <v>1221</v>
      </c>
      <c r="M15" s="981">
        <f>ROUNDDOWN(L15/350,0)</f>
        <v>3</v>
      </c>
      <c r="N15" s="503" t="s">
        <v>193</v>
      </c>
      <c r="O15" s="504">
        <f>MOD(L15,350)</f>
        <v>171</v>
      </c>
      <c r="P15" s="329"/>
      <c r="Q15" s="995">
        <f t="shared" ref="Q15:Q21" si="4">M15</f>
        <v>3</v>
      </c>
      <c r="R15" s="826" t="s">
        <v>193</v>
      </c>
      <c r="S15" s="996">
        <f>O15</f>
        <v>171</v>
      </c>
      <c r="T15" s="1002">
        <f>(Q15*350)+S15</f>
        <v>1221</v>
      </c>
      <c r="U15" s="780">
        <f t="shared" ref="U15:U21" si="5">T15*1</f>
        <v>1221</v>
      </c>
      <c r="V15" s="617" t="s">
        <v>262</v>
      </c>
    </row>
    <row r="16" spans="1:22" x14ac:dyDescent="0.2">
      <c r="A16" s="76"/>
      <c r="B16" s="766"/>
      <c r="C16" s="730"/>
      <c r="D16" s="730"/>
      <c r="E16" s="732" t="s">
        <v>213</v>
      </c>
      <c r="F16" s="731" t="s">
        <v>70</v>
      </c>
      <c r="G16" s="594" t="s">
        <v>190</v>
      </c>
      <c r="H16" s="869"/>
      <c r="I16" s="945">
        <f t="shared" si="3"/>
        <v>37</v>
      </c>
      <c r="J16" s="593">
        <f>700/20</f>
        <v>35</v>
      </c>
      <c r="K16" s="735">
        <f t="shared" si="0"/>
        <v>1.0571428571428572</v>
      </c>
      <c r="L16" s="735">
        <f t="shared" si="1"/>
        <v>2</v>
      </c>
      <c r="M16" s="1112">
        <f>ROUNDDOWN(L16/1,0)</f>
        <v>2</v>
      </c>
      <c r="N16" s="1112"/>
      <c r="O16" s="1113"/>
      <c r="P16" s="329"/>
      <c r="Q16" s="1114">
        <f t="shared" si="4"/>
        <v>2</v>
      </c>
      <c r="R16" s="1115"/>
      <c r="S16" s="1116"/>
      <c r="T16" s="1002">
        <f t="shared" si="2"/>
        <v>2</v>
      </c>
      <c r="U16" s="780">
        <f t="shared" si="5"/>
        <v>2</v>
      </c>
      <c r="V16" s="617" t="s">
        <v>261</v>
      </c>
    </row>
    <row r="17" spans="1:22" x14ac:dyDescent="0.2">
      <c r="A17" s="76"/>
      <c r="B17" s="766"/>
      <c r="C17" s="730"/>
      <c r="D17" s="730"/>
      <c r="E17" s="732" t="s">
        <v>213</v>
      </c>
      <c r="F17" s="731" t="s">
        <v>71</v>
      </c>
      <c r="G17" s="594" t="s">
        <v>190</v>
      </c>
      <c r="H17" s="869"/>
      <c r="I17" s="945">
        <f t="shared" si="3"/>
        <v>37</v>
      </c>
      <c r="J17" s="593">
        <f>350/20</f>
        <v>17.5</v>
      </c>
      <c r="K17" s="735">
        <f t="shared" si="0"/>
        <v>2.1142857142857143</v>
      </c>
      <c r="L17" s="735">
        <f t="shared" si="1"/>
        <v>3</v>
      </c>
      <c r="M17" s="1112">
        <f>ROUNDDOWN(L17/1,0)</f>
        <v>3</v>
      </c>
      <c r="N17" s="1112"/>
      <c r="O17" s="1113"/>
      <c r="P17" s="329"/>
      <c r="Q17" s="1114">
        <f t="shared" si="4"/>
        <v>3</v>
      </c>
      <c r="R17" s="1115"/>
      <c r="S17" s="1116"/>
      <c r="T17" s="1002">
        <f t="shared" si="2"/>
        <v>3</v>
      </c>
      <c r="U17" s="780">
        <f t="shared" si="5"/>
        <v>3</v>
      </c>
      <c r="V17" s="617" t="s">
        <v>261</v>
      </c>
    </row>
    <row r="18" spans="1:22" ht="17.25" customHeight="1" x14ac:dyDescent="0.2">
      <c r="A18" s="76"/>
      <c r="B18" s="766"/>
      <c r="C18" s="730"/>
      <c r="D18" s="730"/>
      <c r="E18" s="732" t="s">
        <v>213</v>
      </c>
      <c r="F18" s="731" t="s">
        <v>72</v>
      </c>
      <c r="G18" s="594" t="s">
        <v>3</v>
      </c>
      <c r="H18" s="869"/>
      <c r="I18" s="945">
        <f t="shared" si="3"/>
        <v>37</v>
      </c>
      <c r="J18" s="593">
        <f>20.5/20</f>
        <v>1.0249999999999999</v>
      </c>
      <c r="K18" s="735">
        <f t="shared" si="0"/>
        <v>36.09756097560976</v>
      </c>
      <c r="L18" s="735">
        <f t="shared" si="1"/>
        <v>37</v>
      </c>
      <c r="M18" s="981">
        <f>ROUNDDOWN(L18/48,0)</f>
        <v>0</v>
      </c>
      <c r="N18" s="503" t="s">
        <v>193</v>
      </c>
      <c r="O18" s="504">
        <f>MOD(L18,48)</f>
        <v>37</v>
      </c>
      <c r="P18" s="329"/>
      <c r="Q18" s="995">
        <f t="shared" si="4"/>
        <v>0</v>
      </c>
      <c r="R18" s="826" t="s">
        <v>193</v>
      </c>
      <c r="S18" s="996">
        <f>O18</f>
        <v>37</v>
      </c>
      <c r="T18" s="1002">
        <f>(Q18*48)+S18</f>
        <v>37</v>
      </c>
      <c r="U18" s="780">
        <f t="shared" si="5"/>
        <v>37</v>
      </c>
      <c r="V18" s="617" t="s">
        <v>3</v>
      </c>
    </row>
    <row r="19" spans="1:22" x14ac:dyDescent="0.2">
      <c r="A19" s="76"/>
      <c r="B19" s="766"/>
      <c r="C19" s="730"/>
      <c r="D19" s="730"/>
      <c r="E19" s="731" t="s">
        <v>259</v>
      </c>
      <c r="F19" s="731" t="s">
        <v>70</v>
      </c>
      <c r="G19" s="594" t="s">
        <v>190</v>
      </c>
      <c r="H19" s="869">
        <v>10</v>
      </c>
      <c r="I19" s="945">
        <f t="shared" si="3"/>
        <v>37</v>
      </c>
      <c r="J19" s="593">
        <f>700/H19</f>
        <v>70</v>
      </c>
      <c r="K19" s="735">
        <f t="shared" si="0"/>
        <v>0.52857142857142858</v>
      </c>
      <c r="L19" s="735">
        <f t="shared" si="1"/>
        <v>1</v>
      </c>
      <c r="M19" s="1112">
        <f>ROUNDDOWN(L19/1,0)</f>
        <v>1</v>
      </c>
      <c r="N19" s="1112"/>
      <c r="O19" s="1113"/>
      <c r="P19" s="329"/>
      <c r="Q19" s="1114">
        <f t="shared" si="4"/>
        <v>1</v>
      </c>
      <c r="R19" s="1115"/>
      <c r="S19" s="1116"/>
      <c r="T19" s="1002">
        <f t="shared" si="2"/>
        <v>1</v>
      </c>
      <c r="U19" s="780">
        <f t="shared" si="5"/>
        <v>1</v>
      </c>
      <c r="V19" s="617" t="s">
        <v>261</v>
      </c>
    </row>
    <row r="20" spans="1:22" x14ac:dyDescent="0.2">
      <c r="A20" s="76"/>
      <c r="B20" s="766"/>
      <c r="C20" s="730"/>
      <c r="D20" s="730"/>
      <c r="E20" s="731" t="s">
        <v>259</v>
      </c>
      <c r="F20" s="731" t="s">
        <v>71</v>
      </c>
      <c r="G20" s="594" t="s">
        <v>190</v>
      </c>
      <c r="H20" s="869">
        <v>10</v>
      </c>
      <c r="I20" s="945">
        <f t="shared" si="3"/>
        <v>37</v>
      </c>
      <c r="J20" s="593">
        <f>350/H20</f>
        <v>35</v>
      </c>
      <c r="K20" s="735">
        <f t="shared" si="0"/>
        <v>1.0571428571428572</v>
      </c>
      <c r="L20" s="735">
        <f t="shared" si="1"/>
        <v>2</v>
      </c>
      <c r="M20" s="1112">
        <f>ROUNDDOWN(L20/1,0)</f>
        <v>2</v>
      </c>
      <c r="N20" s="1112"/>
      <c r="O20" s="1113"/>
      <c r="P20" s="329"/>
      <c r="Q20" s="1114">
        <f t="shared" si="4"/>
        <v>2</v>
      </c>
      <c r="R20" s="1115"/>
      <c r="S20" s="1116"/>
      <c r="T20" s="1002">
        <f t="shared" si="2"/>
        <v>2</v>
      </c>
      <c r="U20" s="780">
        <f t="shared" si="5"/>
        <v>2</v>
      </c>
      <c r="V20" s="617" t="s">
        <v>261</v>
      </c>
    </row>
    <row r="21" spans="1:22" x14ac:dyDescent="0.2">
      <c r="A21" s="76"/>
      <c r="B21" s="768"/>
      <c r="C21" s="720"/>
      <c r="D21" s="720"/>
      <c r="E21" s="746" t="s">
        <v>259</v>
      </c>
      <c r="F21" s="746" t="s">
        <v>72</v>
      </c>
      <c r="G21" s="721" t="s">
        <v>3</v>
      </c>
      <c r="H21" s="948">
        <v>10</v>
      </c>
      <c r="I21" s="949">
        <f t="shared" si="3"/>
        <v>37</v>
      </c>
      <c r="J21" s="614">
        <f>20.5/H21</f>
        <v>2.0499999999999998</v>
      </c>
      <c r="K21" s="722">
        <f t="shared" si="0"/>
        <v>18.04878048780488</v>
      </c>
      <c r="L21" s="722">
        <f t="shared" si="1"/>
        <v>19</v>
      </c>
      <c r="M21" s="984">
        <f>ROUNDDOWN(L21/48,0)</f>
        <v>0</v>
      </c>
      <c r="N21" s="985" t="s">
        <v>193</v>
      </c>
      <c r="O21" s="986">
        <f>MOD(L21,48)</f>
        <v>19</v>
      </c>
      <c r="P21" s="747"/>
      <c r="Q21" s="997">
        <f t="shared" si="4"/>
        <v>0</v>
      </c>
      <c r="R21" s="998" t="s">
        <v>193</v>
      </c>
      <c r="S21" s="999">
        <f>O21</f>
        <v>19</v>
      </c>
      <c r="T21" s="1003">
        <f>(Q21*48)+S21</f>
        <v>19</v>
      </c>
      <c r="U21" s="748">
        <f t="shared" si="5"/>
        <v>19</v>
      </c>
      <c r="V21" s="655" t="s">
        <v>3</v>
      </c>
    </row>
    <row r="22" spans="1:22" x14ac:dyDescent="0.2">
      <c r="A22" s="76"/>
      <c r="B22" s="235"/>
      <c r="C22" s="235"/>
      <c r="D22" s="235"/>
      <c r="E22" s="227"/>
      <c r="F22" s="238"/>
      <c r="G22" s="229"/>
      <c r="H22" s="498"/>
      <c r="I22" s="221"/>
      <c r="J22" s="239"/>
      <c r="L22" s="30"/>
      <c r="M22" s="473"/>
      <c r="O22" s="513"/>
      <c r="P22" s="386"/>
      <c r="Q22" s="473"/>
      <c r="S22" s="513"/>
      <c r="U22" s="391"/>
    </row>
    <row r="23" spans="1:22" x14ac:dyDescent="0.2">
      <c r="A23" s="76"/>
      <c r="B23" s="43" t="s">
        <v>42</v>
      </c>
      <c r="C23" s="43"/>
      <c r="D23" s="43"/>
      <c r="E23" s="50"/>
      <c r="F23" s="43"/>
      <c r="G23" s="50"/>
      <c r="H23" s="497"/>
      <c r="I23" s="47"/>
      <c r="J23" s="46"/>
      <c r="K23" s="938"/>
      <c r="L23" s="938"/>
      <c r="M23" s="1086"/>
      <c r="N23" s="1086"/>
      <c r="O23" s="1086"/>
      <c r="Q23" s="1086"/>
      <c r="R23" s="1086"/>
      <c r="S23" s="1086"/>
      <c r="U23" s="391"/>
    </row>
    <row r="24" spans="1:22" x14ac:dyDescent="0.2">
      <c r="A24" s="76"/>
      <c r="B24" s="43"/>
      <c r="C24" s="43"/>
      <c r="D24" s="43"/>
      <c r="E24" s="50"/>
      <c r="F24" s="43"/>
      <c r="G24" s="50"/>
      <c r="H24" s="497"/>
      <c r="I24" s="47"/>
      <c r="J24" s="46"/>
      <c r="K24" s="938"/>
      <c r="L24" s="938"/>
      <c r="M24" s="1086"/>
      <c r="N24" s="1086"/>
      <c r="O24" s="1086"/>
      <c r="Q24" s="1086"/>
      <c r="R24" s="1086"/>
      <c r="S24" s="1086"/>
      <c r="U24" s="391"/>
    </row>
    <row r="25" spans="1:22" x14ac:dyDescent="0.2">
      <c r="A25" s="76"/>
      <c r="B25" s="43"/>
      <c r="C25" s="43"/>
      <c r="D25" s="43"/>
      <c r="E25" s="50"/>
      <c r="F25" s="43"/>
      <c r="G25" s="50"/>
      <c r="H25" s="497"/>
      <c r="I25" s="47"/>
      <c r="J25" s="46"/>
      <c r="K25" s="938"/>
      <c r="L25" s="938"/>
      <c r="M25" s="473"/>
      <c r="O25" s="513"/>
      <c r="Q25" s="473"/>
      <c r="S25" s="514"/>
      <c r="U25" s="391"/>
    </row>
    <row r="26" spans="1:22" x14ac:dyDescent="0.2">
      <c r="A26" s="76"/>
      <c r="B26" s="43"/>
      <c r="C26" s="43"/>
      <c r="D26" s="43"/>
      <c r="E26" s="895"/>
      <c r="F26" s="891"/>
      <c r="G26" s="892"/>
      <c r="H26" s="943"/>
      <c r="I26" s="50"/>
      <c r="J26" s="892"/>
      <c r="K26" s="938"/>
      <c r="L26" s="938"/>
      <c r="M26" s="1086"/>
      <c r="N26" s="1086"/>
      <c r="O26" s="1086"/>
      <c r="Q26" s="1086"/>
      <c r="R26" s="1086"/>
      <c r="S26" s="1086"/>
      <c r="U26" s="391"/>
    </row>
    <row r="27" spans="1:22" x14ac:dyDescent="0.2">
      <c r="A27" s="76"/>
      <c r="B27" s="43"/>
      <c r="C27" s="43"/>
      <c r="D27" s="43"/>
      <c r="E27" s="895"/>
      <c r="F27" s="891"/>
      <c r="G27" s="892"/>
      <c r="H27" s="943"/>
      <c r="I27" s="50"/>
      <c r="J27" s="892"/>
      <c r="K27" s="938"/>
      <c r="L27" s="938"/>
      <c r="U27" s="391"/>
    </row>
    <row r="28" spans="1:22" x14ac:dyDescent="0.2">
      <c r="A28" s="76"/>
      <c r="B28" s="235"/>
      <c r="C28" s="235"/>
      <c r="D28" s="235"/>
      <c r="E28" s="252"/>
      <c r="F28" s="253"/>
      <c r="G28" s="229"/>
      <c r="H28" s="793"/>
      <c r="I28" s="221"/>
      <c r="J28" s="239"/>
      <c r="L28" s="30"/>
      <c r="M28" s="473"/>
      <c r="O28" s="513"/>
      <c r="Q28" s="473"/>
      <c r="S28" s="513"/>
      <c r="U28" s="391"/>
    </row>
    <row r="29" spans="1:22" x14ac:dyDescent="0.2">
      <c r="A29" s="76"/>
      <c r="B29" s="235"/>
      <c r="C29" s="235"/>
      <c r="D29" s="235"/>
      <c r="E29" s="226"/>
      <c r="F29" s="238"/>
      <c r="G29" s="229"/>
      <c r="H29" s="498"/>
      <c r="I29" s="221"/>
      <c r="J29" s="239"/>
      <c r="K29" s="487"/>
      <c r="L29" s="3"/>
      <c r="M29" s="473"/>
      <c r="O29" s="513"/>
      <c r="Q29" s="473"/>
      <c r="S29" s="513"/>
      <c r="U29" s="391"/>
    </row>
    <row r="30" spans="1:22" x14ac:dyDescent="0.2">
      <c r="A30" s="76"/>
      <c r="B30" s="235"/>
      <c r="C30" s="235"/>
      <c r="D30" s="235"/>
      <c r="E30" s="237"/>
      <c r="F30" s="238"/>
      <c r="G30" s="229"/>
      <c r="H30" s="498"/>
      <c r="I30" s="221"/>
      <c r="J30" s="239"/>
      <c r="K30" s="487"/>
      <c r="L30" s="3"/>
      <c r="U30" s="391"/>
    </row>
    <row r="31" spans="1:22" x14ac:dyDescent="0.2">
      <c r="A31" s="19"/>
      <c r="B31" s="235"/>
      <c r="C31" s="235"/>
      <c r="D31" s="235"/>
      <c r="E31" s="237"/>
      <c r="F31" s="238"/>
      <c r="G31" s="229"/>
      <c r="H31" s="498"/>
      <c r="I31" s="221"/>
      <c r="J31" s="239"/>
      <c r="K31" s="487"/>
      <c r="L31" s="3"/>
    </row>
    <row r="32" spans="1:22" x14ac:dyDescent="0.2">
      <c r="A32" s="19"/>
      <c r="B32" s="235"/>
      <c r="C32" s="235"/>
      <c r="D32" s="235"/>
      <c r="E32" s="237"/>
      <c r="F32" s="238"/>
      <c r="G32" s="229"/>
      <c r="H32" s="498"/>
      <c r="I32" s="221"/>
      <c r="J32" s="239"/>
      <c r="K32" s="13"/>
      <c r="L32" s="3"/>
    </row>
    <row r="33" spans="1:12" x14ac:dyDescent="0.2">
      <c r="A33" s="19"/>
      <c r="B33" s="235"/>
      <c r="C33" s="235"/>
      <c r="D33" s="235"/>
      <c r="E33" s="252"/>
      <c r="F33" s="238"/>
      <c r="G33" s="229"/>
      <c r="H33" s="498"/>
      <c r="I33" s="221"/>
      <c r="J33" s="239"/>
      <c r="K33" s="13"/>
      <c r="L33" s="3"/>
    </row>
    <row r="34" spans="1:12" x14ac:dyDescent="0.2">
      <c r="B34" s="246"/>
      <c r="C34" s="246"/>
      <c r="D34" s="246"/>
      <c r="E34" s="247"/>
      <c r="F34" s="248"/>
      <c r="G34" s="249"/>
      <c r="H34" s="794"/>
      <c r="I34" s="220"/>
      <c r="J34" s="249"/>
      <c r="K34" s="222"/>
      <c r="L34" s="222"/>
    </row>
    <row r="35" spans="1:12" x14ac:dyDescent="0.2">
      <c r="B35" s="16"/>
      <c r="C35" s="16"/>
      <c r="D35" s="16"/>
      <c r="E35" s="8"/>
      <c r="F35" s="2"/>
      <c r="G35" s="1"/>
      <c r="H35" s="795"/>
      <c r="I35" s="4"/>
      <c r="J35" s="1"/>
      <c r="K35" s="222"/>
      <c r="L35" s="222"/>
    </row>
    <row r="36" spans="1:12" x14ac:dyDescent="0.2">
      <c r="K36" s="222"/>
      <c r="L36" s="222"/>
    </row>
    <row r="37" spans="1:12" x14ac:dyDescent="0.2">
      <c r="K37" s="222"/>
      <c r="L37" s="222"/>
    </row>
    <row r="38" spans="1:12" x14ac:dyDescent="0.2">
      <c r="K38" s="222"/>
      <c r="L38" s="222"/>
    </row>
    <row r="39" spans="1:12" x14ac:dyDescent="0.2">
      <c r="K39" s="222"/>
      <c r="L39" s="222"/>
    </row>
    <row r="40" spans="1:12" x14ac:dyDescent="0.2">
      <c r="K40" s="13"/>
      <c r="L40" s="3"/>
    </row>
  </sheetData>
  <sheetProtection password="C133" sheet="1" insertRows="0"/>
  <protectedRanges>
    <protectedRange sqref="B1:D1" name="Bereich1_1_1_1_1_1_1_1_1"/>
    <protectedRange sqref="B2:D2 A1:A3" name="Bereich1_1_1_1_1_1_1_1"/>
    <protectedRange sqref="E1:J3" name="Bereich1_1_1_1_1_1_1_1_5"/>
    <protectedRange sqref="A4" name="Bereich1_1_1_1_1_1_1_1_4_1"/>
    <protectedRange sqref="B4:D4" name="Bereich1_1_1_1_1_1_1_1_3_1_1_1"/>
    <protectedRange sqref="G4" name="Bereich1_1_1_1_1_1_1_1_3_1_2"/>
    <protectedRange sqref="E4" name="Bereich1_1_1_1_1_1_1_1_3_1_4"/>
    <protectedRange sqref="F4" name="Bereich1_1_1_1_1_1_1_1_3_1_5"/>
    <protectedRange sqref="J4" name="Bereich1_1_1_1_1_1_1_1_3_1_8"/>
    <protectedRange sqref="H4" name="Bereich1_1_1_1_1_1_1_1_3_1_2_1"/>
    <protectedRange sqref="I4" name="Bereich1_1_1_1_1_1_1_1_3_1_6"/>
    <protectedRange sqref="K1:L3" name="Bereich1_1_1_1_1_1_1_1_5_2"/>
    <protectedRange sqref="K4" name="Bereich1_1_1_1_1_1_1_1_3_1_2_2_2"/>
    <protectedRange sqref="L4" name="Bereich1_1_1_1_1_1_1_1_3_1_2_5_1"/>
    <protectedRange sqref="T4" name="Bereich1_1_1_1_1_1_1_1_3_1_2_6_1"/>
  </protectedRanges>
  <mergeCells count="36">
    <mergeCell ref="M19:O19"/>
    <mergeCell ref="Q16:S16"/>
    <mergeCell ref="Q19:S19"/>
    <mergeCell ref="Q4:S4"/>
    <mergeCell ref="M24:O24"/>
    <mergeCell ref="Q24:S24"/>
    <mergeCell ref="M26:O26"/>
    <mergeCell ref="Q26:S26"/>
    <mergeCell ref="M20:O20"/>
    <mergeCell ref="Q20:S20"/>
    <mergeCell ref="M23:O23"/>
    <mergeCell ref="Q23:S23"/>
    <mergeCell ref="B4:B5"/>
    <mergeCell ref="C4:C5"/>
    <mergeCell ref="D4:D5"/>
    <mergeCell ref="E4:E5"/>
    <mergeCell ref="F4:F5"/>
    <mergeCell ref="V4:V5"/>
    <mergeCell ref="U4:U5"/>
    <mergeCell ref="M11:O11"/>
    <mergeCell ref="Q11:S11"/>
    <mergeCell ref="M12:O12"/>
    <mergeCell ref="T4:T5"/>
    <mergeCell ref="Q12:S12"/>
    <mergeCell ref="G4:G5"/>
    <mergeCell ref="H4:H5"/>
    <mergeCell ref="I4:I5"/>
    <mergeCell ref="M17:O17"/>
    <mergeCell ref="Q17:S17"/>
    <mergeCell ref="M16:O16"/>
    <mergeCell ref="J4:J5"/>
    <mergeCell ref="K4:K5"/>
    <mergeCell ref="L4:L5"/>
    <mergeCell ref="M4:O4"/>
    <mergeCell ref="M13:O13"/>
    <mergeCell ref="Q13:S13"/>
  </mergeCells>
  <pageMargins left="0.25" right="0.25" top="0.75" bottom="0.75" header="0.3" footer="0.3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A30B-66D8-4E73-95A6-68C47CC0787C}">
  <sheetPr>
    <pageSetUpPr fitToPage="1"/>
  </sheetPr>
  <dimension ref="A1:V42"/>
  <sheetViews>
    <sheetView topLeftCell="B1" workbookViewId="0">
      <selection activeCell="J30" sqref="J30"/>
    </sheetView>
  </sheetViews>
  <sheetFormatPr baseColWidth="10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46.5703125" style="36" customWidth="1"/>
    <col min="6" max="6" width="9.28515625" style="37" customWidth="1"/>
    <col min="7" max="7" width="12.5703125" style="31" customWidth="1"/>
    <col min="8" max="8" width="12" style="28" bestFit="1" customWidth="1"/>
    <col min="9" max="9" width="10.28515625" style="28" bestFit="1" customWidth="1"/>
    <col min="10" max="10" width="10.7109375" style="131" customWidth="1"/>
    <col min="11" max="11" width="10.7109375" style="30" customWidth="1"/>
    <col min="12" max="12" width="10" style="78" bestFit="1" customWidth="1"/>
    <col min="13" max="13" width="8.7109375" style="3" customWidth="1"/>
    <col min="14" max="14" width="2.140625" style="3" customWidth="1"/>
    <col min="15" max="15" width="5.140625" style="3" customWidth="1"/>
    <col min="16" max="16" width="3.28515625" style="3" customWidth="1"/>
    <col min="17" max="17" width="9" style="3" customWidth="1"/>
    <col min="18" max="18" width="2.140625" style="3" customWidth="1"/>
    <col min="19" max="19" width="5.140625" style="3" customWidth="1"/>
    <col min="20" max="20" width="10.28515625" style="3" customWidth="1"/>
    <col min="21" max="21" width="10.7109375" style="535" customWidth="1"/>
    <col min="22" max="16384" width="11.42578125" style="3"/>
  </cols>
  <sheetData>
    <row r="1" spans="1:22" x14ac:dyDescent="0.25">
      <c r="A1" s="93"/>
      <c r="B1" s="92" t="s">
        <v>157</v>
      </c>
      <c r="C1" s="92"/>
      <c r="D1" s="92"/>
      <c r="E1" s="96"/>
      <c r="F1" s="97"/>
      <c r="G1" s="98"/>
      <c r="H1" s="99"/>
      <c r="I1" s="99"/>
      <c r="K1" s="101"/>
      <c r="L1" s="103"/>
    </row>
    <row r="2" spans="1:22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99"/>
      <c r="K2" s="101"/>
      <c r="L2" s="103"/>
    </row>
    <row r="3" spans="1:22" ht="23.25" x14ac:dyDescent="0.2">
      <c r="A3"/>
      <c r="B3" s="84" t="s">
        <v>180</v>
      </c>
      <c r="C3" s="84"/>
      <c r="D3" s="84"/>
    </row>
    <row r="4" spans="1:22" s="4" customFormat="1" ht="31.5" customHeight="1" x14ac:dyDescent="0.2">
      <c r="A4" s="6"/>
      <c r="B4" s="1119" t="s">
        <v>185</v>
      </c>
      <c r="C4" s="1121" t="s">
        <v>183</v>
      </c>
      <c r="D4" s="1119" t="s">
        <v>184</v>
      </c>
      <c r="E4" s="1101" t="s">
        <v>0</v>
      </c>
      <c r="F4" s="1126" t="s">
        <v>1</v>
      </c>
      <c r="G4" s="1124" t="s">
        <v>196</v>
      </c>
      <c r="H4" s="1084" t="s">
        <v>228</v>
      </c>
      <c r="I4" s="1103" t="s">
        <v>189</v>
      </c>
      <c r="J4" s="1101" t="s">
        <v>197</v>
      </c>
      <c r="K4" s="1058" t="s">
        <v>32</v>
      </c>
      <c r="L4" s="1061" t="s">
        <v>192</v>
      </c>
      <c r="M4" s="1062" t="s">
        <v>196</v>
      </c>
      <c r="N4" s="1062"/>
      <c r="O4" s="1062"/>
      <c r="P4" s="610"/>
      <c r="Q4" s="1128" t="s">
        <v>202</v>
      </c>
      <c r="R4" s="1065"/>
      <c r="S4" s="1066"/>
      <c r="T4" s="1058" t="s">
        <v>32</v>
      </c>
      <c r="U4" s="1118" t="s">
        <v>200</v>
      </c>
      <c r="V4" s="1117" t="s">
        <v>310</v>
      </c>
    </row>
    <row r="5" spans="1:22" ht="12.75" customHeight="1" thickBot="1" x14ac:dyDescent="0.25">
      <c r="A5" s="81"/>
      <c r="B5" s="1120"/>
      <c r="C5" s="1122"/>
      <c r="D5" s="1120"/>
      <c r="E5" s="1102"/>
      <c r="F5" s="1127"/>
      <c r="G5" s="1125"/>
      <c r="H5" s="1123"/>
      <c r="I5" s="1104"/>
      <c r="J5" s="1102"/>
      <c r="K5" s="1058"/>
      <c r="L5" s="1061"/>
      <c r="M5" s="561" t="s">
        <v>195</v>
      </c>
      <c r="N5" s="559"/>
      <c r="O5" s="750" t="s">
        <v>194</v>
      </c>
      <c r="P5" s="753"/>
      <c r="Q5" s="752" t="s">
        <v>195</v>
      </c>
      <c r="R5" s="403" t="s">
        <v>193</v>
      </c>
      <c r="S5" s="398" t="s">
        <v>194</v>
      </c>
      <c r="T5" s="1058"/>
      <c r="U5" s="1118"/>
      <c r="V5" s="1117"/>
    </row>
    <row r="6" spans="1:22" ht="27.75" customHeight="1" thickTop="1" thickBot="1" x14ac:dyDescent="0.25">
      <c r="A6" s="81"/>
      <c r="B6" s="488"/>
      <c r="C6" s="489"/>
      <c r="D6" s="490"/>
      <c r="E6" s="491"/>
      <c r="F6" s="488"/>
      <c r="G6" s="492"/>
      <c r="H6" s="974">
        <v>24</v>
      </c>
      <c r="I6" s="953">
        <v>5</v>
      </c>
      <c r="J6" s="492"/>
      <c r="K6" s="756"/>
      <c r="L6" s="757"/>
      <c r="M6" s="136"/>
      <c r="N6" s="138"/>
      <c r="O6" s="754"/>
      <c r="P6" s="138"/>
      <c r="Q6" s="137"/>
      <c r="R6" s="392"/>
      <c r="S6" s="137"/>
      <c r="T6" s="758"/>
      <c r="U6" s="759"/>
    </row>
    <row r="7" spans="1:22" ht="16.5" thickTop="1" x14ac:dyDescent="0.2">
      <c r="A7" s="34"/>
      <c r="B7" s="774"/>
      <c r="C7" s="658"/>
      <c r="D7" s="658"/>
      <c r="E7" s="660" t="s">
        <v>53</v>
      </c>
      <c r="F7" s="661"/>
      <c r="G7" s="662"/>
      <c r="H7" s="526"/>
      <c r="I7" s="526"/>
      <c r="J7" s="366"/>
      <c r="K7" s="664"/>
      <c r="L7" s="665"/>
      <c r="M7" s="563"/>
      <c r="N7" s="418"/>
      <c r="O7" s="564"/>
      <c r="P7" s="385"/>
      <c r="Q7" s="563"/>
      <c r="R7" s="418"/>
      <c r="S7" s="563"/>
      <c r="T7" s="421"/>
      <c r="U7" s="781"/>
      <c r="V7" s="782"/>
    </row>
    <row r="8" spans="1:22" x14ac:dyDescent="0.2">
      <c r="A8" s="83"/>
      <c r="B8" s="769"/>
      <c r="C8" s="208"/>
      <c r="D8" s="48"/>
      <c r="E8" s="484" t="s">
        <v>220</v>
      </c>
      <c r="F8" s="73" t="s">
        <v>224</v>
      </c>
      <c r="G8" s="87" t="s">
        <v>215</v>
      </c>
      <c r="H8" s="954">
        <f>H6</f>
        <v>24</v>
      </c>
      <c r="I8" s="897">
        <f>I6</f>
        <v>5</v>
      </c>
      <c r="J8" s="485">
        <f>IF(H8=11.5,1/50, IF(H8=24,1/100))</f>
        <v>0.01</v>
      </c>
      <c r="K8" s="79">
        <f>I8/J8</f>
        <v>500</v>
      </c>
      <c r="L8" s="714">
        <f t="shared" ref="L8:L22" si="0">ROUNDUP(K8,0)</f>
        <v>500</v>
      </c>
      <c r="M8" s="543">
        <f>ROUNDDOWN(L8/312,0)</f>
        <v>1</v>
      </c>
      <c r="N8" s="378" t="s">
        <v>193</v>
      </c>
      <c r="O8" s="751">
        <f>MOD(L8,312)</f>
        <v>188</v>
      </c>
      <c r="P8" s="385"/>
      <c r="Q8" s="913">
        <f t="shared" ref="Q8:Q17" si="1">M8</f>
        <v>1</v>
      </c>
      <c r="R8" s="160" t="s">
        <v>193</v>
      </c>
      <c r="S8" s="863">
        <f t="shared" ref="S8:S13" si="2">O8</f>
        <v>188</v>
      </c>
      <c r="T8" s="486">
        <f>(Q8*312)+S8</f>
        <v>500</v>
      </c>
      <c r="U8" s="958">
        <f t="shared" ref="U8:U13" si="3">T8</f>
        <v>500</v>
      </c>
      <c r="V8" s="755" t="s">
        <v>262</v>
      </c>
    </row>
    <row r="9" spans="1:22" x14ac:dyDescent="0.2">
      <c r="A9" s="32"/>
      <c r="B9" s="769"/>
      <c r="C9" s="208"/>
      <c r="D9" s="48"/>
      <c r="E9" s="479" t="s">
        <v>221</v>
      </c>
      <c r="F9" s="73" t="s">
        <v>225</v>
      </c>
      <c r="G9" s="87" t="s">
        <v>215</v>
      </c>
      <c r="H9" s="954">
        <f>H6</f>
        <v>24</v>
      </c>
      <c r="I9" s="897">
        <f>I6</f>
        <v>5</v>
      </c>
      <c r="J9" s="485">
        <f>IF(H9=11.5,1/33, IF(H9=24,1/66))</f>
        <v>1.5151515151515152E-2</v>
      </c>
      <c r="K9" s="79">
        <f t="shared" ref="K9:K22" si="4">I9/J9</f>
        <v>330</v>
      </c>
      <c r="L9" s="714">
        <f t="shared" si="0"/>
        <v>330</v>
      </c>
      <c r="M9" s="543">
        <f>ROUNDDOWN(L9/168,0)</f>
        <v>1</v>
      </c>
      <c r="N9" s="378" t="s">
        <v>193</v>
      </c>
      <c r="O9" s="751">
        <f>MOD(L9,168)</f>
        <v>162</v>
      </c>
      <c r="P9" s="385"/>
      <c r="Q9" s="913">
        <f t="shared" si="1"/>
        <v>1</v>
      </c>
      <c r="R9" s="160" t="s">
        <v>193</v>
      </c>
      <c r="S9" s="863">
        <f t="shared" si="2"/>
        <v>162</v>
      </c>
      <c r="T9" s="486">
        <f>(Q9*168)+S9</f>
        <v>330</v>
      </c>
      <c r="U9" s="958">
        <f t="shared" si="3"/>
        <v>330</v>
      </c>
      <c r="V9" s="755" t="s">
        <v>262</v>
      </c>
    </row>
    <row r="10" spans="1:22" x14ac:dyDescent="0.2">
      <c r="A10" s="32"/>
      <c r="B10" s="769"/>
      <c r="C10" s="208"/>
      <c r="D10" s="48"/>
      <c r="E10" s="484" t="s">
        <v>402</v>
      </c>
      <c r="F10" s="73" t="s">
        <v>403</v>
      </c>
      <c r="G10" s="87" t="s">
        <v>215</v>
      </c>
      <c r="H10" s="954">
        <f>H6</f>
        <v>24</v>
      </c>
      <c r="I10" s="897">
        <f>I6</f>
        <v>5</v>
      </c>
      <c r="J10" s="485">
        <f>IF(H10=11.5,1/33, IF(H10=24,1/66))</f>
        <v>1.5151515151515152E-2</v>
      </c>
      <c r="K10" s="79">
        <f t="shared" si="4"/>
        <v>330</v>
      </c>
      <c r="L10" s="714">
        <f t="shared" si="0"/>
        <v>330</v>
      </c>
      <c r="M10" s="543">
        <f>ROUNDDOWN(L10/212,0)</f>
        <v>1</v>
      </c>
      <c r="N10" s="378"/>
      <c r="O10" s="751">
        <f>MOD(L10,212)</f>
        <v>118</v>
      </c>
      <c r="P10" s="385"/>
      <c r="Q10" s="913">
        <f t="shared" si="1"/>
        <v>1</v>
      </c>
      <c r="R10" s="160" t="s">
        <v>193</v>
      </c>
      <c r="S10" s="863">
        <f t="shared" si="2"/>
        <v>118</v>
      </c>
      <c r="T10" s="486">
        <f>(Q10*212)+S10</f>
        <v>330</v>
      </c>
      <c r="U10" s="958">
        <f t="shared" si="3"/>
        <v>330</v>
      </c>
      <c r="V10" s="755" t="s">
        <v>262</v>
      </c>
    </row>
    <row r="11" spans="1:22" x14ac:dyDescent="0.2">
      <c r="A11" s="32"/>
      <c r="B11" s="769"/>
      <c r="C11" s="208"/>
      <c r="D11" s="48"/>
      <c r="E11" s="484" t="s">
        <v>408</v>
      </c>
      <c r="F11" s="73" t="s">
        <v>409</v>
      </c>
      <c r="G11" s="87" t="s">
        <v>215</v>
      </c>
      <c r="H11" s="954">
        <f>H6</f>
        <v>24</v>
      </c>
      <c r="I11" s="897">
        <f>I6</f>
        <v>5</v>
      </c>
      <c r="J11" s="485">
        <f>IF(H11=17.5,1/33, IF(H11=24,1/44))</f>
        <v>2.2727272727272728E-2</v>
      </c>
      <c r="K11" s="79">
        <f t="shared" si="4"/>
        <v>220</v>
      </c>
      <c r="L11" s="714">
        <f t="shared" si="0"/>
        <v>220</v>
      </c>
      <c r="M11" s="543">
        <f>ROUNDDOWN(L11/128,0)</f>
        <v>1</v>
      </c>
      <c r="N11" s="378"/>
      <c r="O11" s="751">
        <f>MOD(L11,128)</f>
        <v>92</v>
      </c>
      <c r="P11" s="385"/>
      <c r="Q11" s="913">
        <f t="shared" si="1"/>
        <v>1</v>
      </c>
      <c r="R11" s="160" t="s">
        <v>193</v>
      </c>
      <c r="S11" s="863">
        <f t="shared" si="2"/>
        <v>92</v>
      </c>
      <c r="T11" s="486">
        <f>(Q11*128)+S11</f>
        <v>220</v>
      </c>
      <c r="U11" s="958">
        <f t="shared" si="3"/>
        <v>220</v>
      </c>
      <c r="V11" s="755" t="s">
        <v>262</v>
      </c>
    </row>
    <row r="12" spans="1:22" ht="15.75" customHeight="1" x14ac:dyDescent="0.2">
      <c r="A12" s="81"/>
      <c r="B12" s="769"/>
      <c r="C12" s="208"/>
      <c r="D12" s="48"/>
      <c r="E12" s="479" t="s">
        <v>222</v>
      </c>
      <c r="F12" s="73" t="s">
        <v>26</v>
      </c>
      <c r="G12" s="87" t="s">
        <v>215</v>
      </c>
      <c r="H12" s="954">
        <f>H6</f>
        <v>24</v>
      </c>
      <c r="I12" s="897">
        <f>I6</f>
        <v>5</v>
      </c>
      <c r="J12" s="485">
        <f>IF(H12=11.5,1/50, IF(H12=24,1/100))</f>
        <v>0.01</v>
      </c>
      <c r="K12" s="79">
        <f t="shared" si="4"/>
        <v>500</v>
      </c>
      <c r="L12" s="714">
        <f t="shared" si="0"/>
        <v>500</v>
      </c>
      <c r="M12" s="543">
        <f>ROUNDDOWN(L12/336,0)</f>
        <v>1</v>
      </c>
      <c r="N12" s="378" t="s">
        <v>193</v>
      </c>
      <c r="O12" s="751">
        <f>MOD(L12,336)</f>
        <v>164</v>
      </c>
      <c r="P12" s="385"/>
      <c r="Q12" s="913">
        <f t="shared" si="1"/>
        <v>1</v>
      </c>
      <c r="R12" s="160" t="s">
        <v>193</v>
      </c>
      <c r="S12" s="863">
        <f t="shared" si="2"/>
        <v>164</v>
      </c>
      <c r="T12" s="486">
        <f>(Q12*336)+S12</f>
        <v>500</v>
      </c>
      <c r="U12" s="958">
        <f t="shared" si="3"/>
        <v>500</v>
      </c>
      <c r="V12" s="755" t="s">
        <v>262</v>
      </c>
    </row>
    <row r="13" spans="1:22" ht="17.850000000000001" customHeight="1" x14ac:dyDescent="0.2">
      <c r="A13" s="83"/>
      <c r="B13" s="769"/>
      <c r="C13" s="208"/>
      <c r="D13" s="1004"/>
      <c r="E13" s="484" t="s">
        <v>223</v>
      </c>
      <c r="F13" s="207" t="s">
        <v>118</v>
      </c>
      <c r="G13" s="87" t="s">
        <v>215</v>
      </c>
      <c r="H13" s="954">
        <f>H6</f>
        <v>24</v>
      </c>
      <c r="I13" s="897">
        <f>I6</f>
        <v>5</v>
      </c>
      <c r="J13" s="485">
        <f>IF(H13=11.5,1/33, IF(H13=24,1/66))</f>
        <v>1.5151515151515152E-2</v>
      </c>
      <c r="K13" s="79">
        <f t="shared" si="4"/>
        <v>330</v>
      </c>
      <c r="L13" s="714">
        <f t="shared" si="0"/>
        <v>330</v>
      </c>
      <c r="M13" s="543">
        <f>ROUNDDOWN(L13/224,0)</f>
        <v>1</v>
      </c>
      <c r="N13" s="378" t="s">
        <v>193</v>
      </c>
      <c r="O13" s="751">
        <f>MOD(L13,224)</f>
        <v>106</v>
      </c>
      <c r="P13" s="385"/>
      <c r="Q13" s="913">
        <f>M13</f>
        <v>1</v>
      </c>
      <c r="R13" s="160" t="s">
        <v>193</v>
      </c>
      <c r="S13" s="863">
        <f t="shared" si="2"/>
        <v>106</v>
      </c>
      <c r="T13" s="486">
        <f>(Q13*224)+S13</f>
        <v>330</v>
      </c>
      <c r="U13" s="958">
        <f t="shared" si="3"/>
        <v>330</v>
      </c>
      <c r="V13" s="755" t="s">
        <v>262</v>
      </c>
    </row>
    <row r="14" spans="1:22" x14ac:dyDescent="0.2">
      <c r="A14" s="76"/>
      <c r="B14" s="769"/>
      <c r="C14" s="208"/>
      <c r="D14" s="1004"/>
      <c r="E14" s="479" t="s">
        <v>405</v>
      </c>
      <c r="F14" s="1005" t="s">
        <v>226</v>
      </c>
      <c r="G14" s="87" t="s">
        <v>190</v>
      </c>
      <c r="H14" s="954">
        <f>H6</f>
        <v>24</v>
      </c>
      <c r="I14" s="897">
        <f>I6</f>
        <v>5</v>
      </c>
      <c r="J14" s="151">
        <f>IF(H14=11.5,500/30, IF(H14=24,500/70))</f>
        <v>7.1428571428571432</v>
      </c>
      <c r="K14" s="79">
        <f t="shared" si="4"/>
        <v>0.7</v>
      </c>
      <c r="L14" s="714">
        <f t="shared" si="0"/>
        <v>1</v>
      </c>
      <c r="M14" s="1052">
        <f>ROUNDDOWN(L14/1,0)</f>
        <v>1</v>
      </c>
      <c r="N14" s="1052"/>
      <c r="O14" s="1052"/>
      <c r="P14" s="385"/>
      <c r="Q14" s="1055">
        <f t="shared" si="1"/>
        <v>1</v>
      </c>
      <c r="R14" s="1055"/>
      <c r="S14" s="1056"/>
      <c r="T14" s="486">
        <f>(Q14*1)+S14</f>
        <v>1</v>
      </c>
      <c r="U14" s="958">
        <f t="shared" ref="U14:U22" si="5">T14</f>
        <v>1</v>
      </c>
      <c r="V14" s="749" t="s">
        <v>261</v>
      </c>
    </row>
    <row r="15" spans="1:22" x14ac:dyDescent="0.2">
      <c r="A15" s="76"/>
      <c r="B15" s="769"/>
      <c r="C15" s="208"/>
      <c r="D15" s="1004"/>
      <c r="E15" s="479" t="s">
        <v>405</v>
      </c>
      <c r="F15" s="1005" t="s">
        <v>227</v>
      </c>
      <c r="G15" s="87" t="s">
        <v>190</v>
      </c>
      <c r="H15" s="954">
        <f>H6</f>
        <v>24</v>
      </c>
      <c r="I15" s="897">
        <f>I6</f>
        <v>5</v>
      </c>
      <c r="J15" s="151">
        <f>IF(H15=11.5,250/30, IF(H15=24,250/70))</f>
        <v>3.5714285714285716</v>
      </c>
      <c r="K15" s="79">
        <f t="shared" si="4"/>
        <v>1.4</v>
      </c>
      <c r="L15" s="714">
        <f t="shared" si="0"/>
        <v>2</v>
      </c>
      <c r="M15" s="1052">
        <f>ROUNDDOWN(L15/1,0)</f>
        <v>2</v>
      </c>
      <c r="N15" s="1052"/>
      <c r="O15" s="1052"/>
      <c r="P15" s="385"/>
      <c r="Q15" s="1055">
        <f t="shared" si="1"/>
        <v>2</v>
      </c>
      <c r="R15" s="1055"/>
      <c r="S15" s="1056"/>
      <c r="T15" s="486">
        <f>(Q15*1)+S15</f>
        <v>2</v>
      </c>
      <c r="U15" s="958">
        <f t="shared" si="5"/>
        <v>2</v>
      </c>
      <c r="V15" s="749" t="s">
        <v>261</v>
      </c>
    </row>
    <row r="16" spans="1:22" x14ac:dyDescent="0.2">
      <c r="A16" s="76"/>
      <c r="B16" s="769"/>
      <c r="C16" s="208"/>
      <c r="D16" s="1004"/>
      <c r="E16" s="1007" t="s">
        <v>405</v>
      </c>
      <c r="F16" s="310" t="s">
        <v>404</v>
      </c>
      <c r="G16" s="87" t="s">
        <v>3</v>
      </c>
      <c r="H16" s="954">
        <f>H6</f>
        <v>24</v>
      </c>
      <c r="I16" s="897">
        <f>I6</f>
        <v>5</v>
      </c>
      <c r="J16" s="151">
        <f>IF(H16=11.5,12.5/30, IF(H16=24,12.5/70))</f>
        <v>0.17857142857142858</v>
      </c>
      <c r="K16" s="79">
        <f t="shared" si="4"/>
        <v>28</v>
      </c>
      <c r="L16" s="1019">
        <f t="shared" si="0"/>
        <v>28</v>
      </c>
      <c r="M16" s="432">
        <f>ROUNDDOWN(L16/48,0)</f>
        <v>0</v>
      </c>
      <c r="N16" s="378" t="s">
        <v>193</v>
      </c>
      <c r="O16" s="433">
        <f>MOD(L16,48)</f>
        <v>28</v>
      </c>
      <c r="P16" s="384"/>
      <c r="Q16" s="913">
        <f>M16</f>
        <v>0</v>
      </c>
      <c r="R16" s="160" t="s">
        <v>193</v>
      </c>
      <c r="S16" s="863">
        <f>O16</f>
        <v>28</v>
      </c>
      <c r="T16" s="486">
        <f>(Q16*48)+S16</f>
        <v>28</v>
      </c>
      <c r="U16" s="958">
        <f t="shared" si="5"/>
        <v>28</v>
      </c>
      <c r="V16" s="546" t="s">
        <v>3</v>
      </c>
    </row>
    <row r="17" spans="1:22" ht="15.75" customHeight="1" x14ac:dyDescent="0.2">
      <c r="A17" s="32"/>
      <c r="B17" s="769"/>
      <c r="C17" s="208"/>
      <c r="D17" s="1004"/>
      <c r="E17" s="1006" t="s">
        <v>406</v>
      </c>
      <c r="F17" s="1011" t="s">
        <v>226</v>
      </c>
      <c r="G17" s="87" t="s">
        <v>190</v>
      </c>
      <c r="H17" s="1013">
        <f>H6</f>
        <v>24</v>
      </c>
      <c r="I17" s="1015">
        <f>I6</f>
        <v>5</v>
      </c>
      <c r="J17" s="1017">
        <f>IF(H17=11.5,500/20, IF(H17=24,500/55))</f>
        <v>9.0909090909090917</v>
      </c>
      <c r="K17" s="79">
        <f t="shared" si="4"/>
        <v>0.54999999999999993</v>
      </c>
      <c r="L17" s="1019">
        <f t="shared" si="0"/>
        <v>1</v>
      </c>
      <c r="M17" s="1051">
        <f>ROUNDDOWN(L17/1,0)</f>
        <v>1</v>
      </c>
      <c r="N17" s="1052"/>
      <c r="O17" s="1053"/>
      <c r="P17" s="124"/>
      <c r="Q17" s="1054">
        <f t="shared" si="1"/>
        <v>1</v>
      </c>
      <c r="R17" s="1055"/>
      <c r="S17" s="1055"/>
      <c r="T17" s="515">
        <f>(Q17*1)+S17</f>
        <v>1</v>
      </c>
      <c r="U17" s="780">
        <f t="shared" si="5"/>
        <v>1</v>
      </c>
      <c r="V17" s="546" t="s">
        <v>261</v>
      </c>
    </row>
    <row r="18" spans="1:22" ht="15.75" customHeight="1" x14ac:dyDescent="0.2">
      <c r="A18" s="32"/>
      <c r="B18" s="769"/>
      <c r="C18" s="208"/>
      <c r="D18" s="1004"/>
      <c r="E18" s="1006" t="s">
        <v>406</v>
      </c>
      <c r="F18" s="1011" t="s">
        <v>227</v>
      </c>
      <c r="G18" s="87" t="s">
        <v>190</v>
      </c>
      <c r="H18" s="1013">
        <f>H6</f>
        <v>24</v>
      </c>
      <c r="I18" s="1015">
        <f>I6</f>
        <v>5</v>
      </c>
      <c r="J18" s="1017">
        <f>IF(H18=11.5,250/20, IF(H18=24,250/55))</f>
        <v>4.5454545454545459</v>
      </c>
      <c r="K18" s="79">
        <f t="shared" si="4"/>
        <v>1.0999999999999999</v>
      </c>
      <c r="L18" s="1019">
        <f t="shared" si="0"/>
        <v>2</v>
      </c>
      <c r="M18" s="1051">
        <f>ROUNDDOWN(L18/1,0)</f>
        <v>2</v>
      </c>
      <c r="N18" s="1052"/>
      <c r="O18" s="1053"/>
      <c r="P18" s="124"/>
      <c r="Q18" s="1054">
        <f>M18</f>
        <v>2</v>
      </c>
      <c r="R18" s="1055"/>
      <c r="S18" s="1055"/>
      <c r="T18" s="515">
        <f>(Q18*1)+S18</f>
        <v>2</v>
      </c>
      <c r="U18" s="780">
        <f t="shared" si="5"/>
        <v>2</v>
      </c>
      <c r="V18" s="546" t="s">
        <v>261</v>
      </c>
    </row>
    <row r="19" spans="1:22" ht="15.75" customHeight="1" x14ac:dyDescent="0.2">
      <c r="A19" s="32"/>
      <c r="B19" s="769"/>
      <c r="C19" s="208"/>
      <c r="D19" s="1004"/>
      <c r="E19" s="1006" t="s">
        <v>406</v>
      </c>
      <c r="F19" s="1011" t="s">
        <v>404</v>
      </c>
      <c r="G19" s="87" t="s">
        <v>3</v>
      </c>
      <c r="H19" s="1013">
        <f>H6</f>
        <v>24</v>
      </c>
      <c r="I19" s="1015">
        <f>I6</f>
        <v>5</v>
      </c>
      <c r="J19" s="1017">
        <f>IF(H19=11.5,12.5/20, IF(H19=24,12.5/55))</f>
        <v>0.22727272727272727</v>
      </c>
      <c r="K19" s="79">
        <f t="shared" si="4"/>
        <v>22</v>
      </c>
      <c r="L19" s="1019">
        <f t="shared" si="0"/>
        <v>22</v>
      </c>
      <c r="M19" s="432">
        <f>ROUNDDOWN(L19/48,0)</f>
        <v>0</v>
      </c>
      <c r="N19" s="378" t="s">
        <v>193</v>
      </c>
      <c r="O19" s="433">
        <f>MOD(L19,48)</f>
        <v>22</v>
      </c>
      <c r="P19" s="124"/>
      <c r="Q19" s="860">
        <f>M19</f>
        <v>0</v>
      </c>
      <c r="R19" s="160" t="s">
        <v>193</v>
      </c>
      <c r="S19" s="1008">
        <f>O19</f>
        <v>22</v>
      </c>
      <c r="T19" s="515">
        <f>(Q19*48)+S19</f>
        <v>22</v>
      </c>
      <c r="U19" s="780">
        <f t="shared" si="5"/>
        <v>22</v>
      </c>
      <c r="V19" s="546" t="s">
        <v>3</v>
      </c>
    </row>
    <row r="20" spans="1:22" ht="15.75" customHeight="1" x14ac:dyDescent="0.2">
      <c r="A20" s="32"/>
      <c r="B20" s="769"/>
      <c r="C20" s="208"/>
      <c r="D20" s="1004"/>
      <c r="E20" s="1007" t="s">
        <v>407</v>
      </c>
      <c r="F20" s="1011" t="s">
        <v>226</v>
      </c>
      <c r="G20" s="87" t="s">
        <v>190</v>
      </c>
      <c r="H20" s="1013">
        <f>H6</f>
        <v>24</v>
      </c>
      <c r="I20" s="1015">
        <f>I6</f>
        <v>5</v>
      </c>
      <c r="J20" s="1017">
        <f>IF(H20=17.5,500/30, IF(H20=24,500/50))</f>
        <v>10</v>
      </c>
      <c r="K20" s="79">
        <f t="shared" si="4"/>
        <v>0.5</v>
      </c>
      <c r="L20" s="1019">
        <f t="shared" si="0"/>
        <v>1</v>
      </c>
      <c r="M20" s="1051">
        <f>ROUNDDOWN(L20/1,0)</f>
        <v>1</v>
      </c>
      <c r="N20" s="1052"/>
      <c r="O20" s="1053"/>
      <c r="P20" s="124"/>
      <c r="Q20" s="1054">
        <f>M20</f>
        <v>1</v>
      </c>
      <c r="R20" s="1055"/>
      <c r="S20" s="1055"/>
      <c r="T20" s="515">
        <f>(Q20*1)+S20</f>
        <v>1</v>
      </c>
      <c r="U20" s="780">
        <f t="shared" si="5"/>
        <v>1</v>
      </c>
      <c r="V20" s="546" t="s">
        <v>261</v>
      </c>
    </row>
    <row r="21" spans="1:22" ht="15.75" customHeight="1" x14ac:dyDescent="0.2">
      <c r="A21" s="32"/>
      <c r="B21" s="769"/>
      <c r="C21" s="208"/>
      <c r="D21" s="1004"/>
      <c r="E21" s="1007" t="s">
        <v>407</v>
      </c>
      <c r="F21" s="1011" t="s">
        <v>227</v>
      </c>
      <c r="G21" s="87" t="s">
        <v>190</v>
      </c>
      <c r="H21" s="1013">
        <f>H6</f>
        <v>24</v>
      </c>
      <c r="I21" s="1015">
        <f>I6</f>
        <v>5</v>
      </c>
      <c r="J21" s="1017">
        <f>IF(H21=17.5,250/30, IF(H21=24,250/50))</f>
        <v>5</v>
      </c>
      <c r="K21" s="79">
        <f t="shared" si="4"/>
        <v>1</v>
      </c>
      <c r="L21" s="1019">
        <f t="shared" si="0"/>
        <v>1</v>
      </c>
      <c r="M21" s="1051">
        <f>ROUNDDOWN(L21/1,0)</f>
        <v>1</v>
      </c>
      <c r="N21" s="1052"/>
      <c r="O21" s="1053"/>
      <c r="P21" s="124"/>
      <c r="Q21" s="1054">
        <f>M21</f>
        <v>1</v>
      </c>
      <c r="R21" s="1055"/>
      <c r="S21" s="1055"/>
      <c r="T21" s="515">
        <f>(Q21*1)+S21</f>
        <v>1</v>
      </c>
      <c r="U21" s="780">
        <f t="shared" si="5"/>
        <v>1</v>
      </c>
      <c r="V21" s="546" t="s">
        <v>261</v>
      </c>
    </row>
    <row r="22" spans="1:22" ht="15.75" customHeight="1" x14ac:dyDescent="0.2">
      <c r="A22" s="81"/>
      <c r="B22" s="772"/>
      <c r="C22" s="622"/>
      <c r="D22" s="621"/>
      <c r="E22" s="1009" t="s">
        <v>407</v>
      </c>
      <c r="F22" s="1012" t="s">
        <v>404</v>
      </c>
      <c r="G22" s="706" t="s">
        <v>3</v>
      </c>
      <c r="H22" s="1014">
        <f>H6</f>
        <v>24</v>
      </c>
      <c r="I22" s="1016">
        <f>I6</f>
        <v>5</v>
      </c>
      <c r="J22" s="1018">
        <f>IF(H22=17.5,12.5/30, IF(H22=24,12.5/50))</f>
        <v>0.25</v>
      </c>
      <c r="K22" s="656">
        <f t="shared" si="4"/>
        <v>20</v>
      </c>
      <c r="L22" s="1020">
        <f t="shared" si="0"/>
        <v>20</v>
      </c>
      <c r="M22" s="538">
        <f>ROUNDDOWN(L22/48,0)</f>
        <v>0</v>
      </c>
      <c r="N22" s="401" t="s">
        <v>193</v>
      </c>
      <c r="O22" s="434">
        <f>MOD(L22,48)</f>
        <v>20</v>
      </c>
      <c r="P22" s="124"/>
      <c r="Q22" s="864">
        <f>M22</f>
        <v>0</v>
      </c>
      <c r="R22" s="865" t="s">
        <v>193</v>
      </c>
      <c r="S22" s="1010">
        <f>O22</f>
        <v>20</v>
      </c>
      <c r="T22" s="1021">
        <f>(Q22*48)+S22</f>
        <v>20</v>
      </c>
      <c r="U22" s="1022">
        <f t="shared" si="5"/>
        <v>20</v>
      </c>
      <c r="V22" s="547" t="s">
        <v>3</v>
      </c>
    </row>
    <row r="23" spans="1:22" x14ac:dyDescent="0.2">
      <c r="A23" s="76"/>
      <c r="B23" s="480"/>
      <c r="C23" s="480"/>
      <c r="D23" s="480"/>
      <c r="E23" s="481"/>
      <c r="F23" s="16"/>
      <c r="H23" s="482"/>
      <c r="I23" s="360"/>
      <c r="J23" s="396"/>
      <c r="L23" s="718"/>
      <c r="M23" s="1086"/>
      <c r="N23" s="1086"/>
      <c r="O23" s="1086"/>
      <c r="P23" s="124"/>
      <c r="Q23" s="1100"/>
      <c r="R23" s="1100"/>
      <c r="S23" s="1100"/>
      <c r="T23" s="124"/>
      <c r="U23" s="536"/>
    </row>
    <row r="24" spans="1:22" x14ac:dyDescent="0.2">
      <c r="B24" s="43" t="s">
        <v>42</v>
      </c>
      <c r="C24" s="43"/>
      <c r="D24" s="43"/>
      <c r="E24" s="50"/>
      <c r="F24" s="43"/>
      <c r="G24" s="50"/>
      <c r="H24" s="46"/>
      <c r="I24" s="47"/>
      <c r="J24" s="396"/>
      <c r="L24" s="718"/>
      <c r="M24" s="1086"/>
      <c r="N24" s="1086"/>
      <c r="O24" s="1086"/>
      <c r="P24" s="386"/>
      <c r="Q24" s="1100"/>
      <c r="R24" s="1100"/>
      <c r="S24" s="1100"/>
      <c r="T24" s="124"/>
      <c r="U24" s="536"/>
    </row>
    <row r="25" spans="1:22" x14ac:dyDescent="0.2">
      <c r="B25" s="43"/>
      <c r="C25" s="43"/>
      <c r="D25" s="43"/>
      <c r="E25" s="50"/>
      <c r="F25" s="43"/>
      <c r="G25" s="50"/>
      <c r="H25" s="46"/>
      <c r="I25" s="47"/>
      <c r="J25" s="396"/>
      <c r="L25" s="718"/>
      <c r="M25" s="1086"/>
      <c r="N25" s="1086"/>
      <c r="O25" s="1086"/>
      <c r="P25" s="124"/>
      <c r="Q25" s="1100"/>
      <c r="R25" s="1100"/>
      <c r="S25" s="1100"/>
      <c r="T25" s="124"/>
      <c r="U25" s="536"/>
    </row>
    <row r="26" spans="1:22" x14ac:dyDescent="0.2">
      <c r="B26" s="43"/>
      <c r="C26" s="43"/>
      <c r="D26" s="43"/>
      <c r="E26" s="50"/>
      <c r="F26" s="43"/>
      <c r="G26" s="50"/>
      <c r="H26" s="46"/>
      <c r="I26" s="47"/>
      <c r="J26" s="396"/>
      <c r="L26" s="718"/>
      <c r="M26" s="1086"/>
      <c r="N26" s="1086"/>
      <c r="O26" s="1086"/>
      <c r="P26" s="124"/>
      <c r="Q26" s="1100"/>
      <c r="R26" s="1100"/>
      <c r="S26" s="1100"/>
      <c r="T26" s="124"/>
      <c r="U26" s="536"/>
    </row>
    <row r="27" spans="1:22" ht="15.75" customHeight="1" x14ac:dyDescent="0.2">
      <c r="B27" s="43"/>
      <c r="C27" s="43"/>
      <c r="D27" s="43"/>
      <c r="E27" s="895"/>
      <c r="F27" s="891"/>
      <c r="G27" s="892"/>
      <c r="H27" s="893"/>
      <c r="I27" s="50"/>
      <c r="J27" s="396"/>
      <c r="L27" s="718"/>
      <c r="M27" s="1086"/>
      <c r="N27" s="1086"/>
      <c r="O27" s="1086"/>
      <c r="P27" s="124"/>
      <c r="Q27" s="1100"/>
      <c r="R27" s="1100"/>
      <c r="S27" s="1100"/>
      <c r="T27" s="124"/>
      <c r="U27" s="536"/>
    </row>
    <row r="28" spans="1:22" ht="15.75" customHeight="1" x14ac:dyDescent="0.2">
      <c r="B28" s="43"/>
      <c r="C28" s="43"/>
      <c r="D28" s="43"/>
      <c r="E28" s="895"/>
      <c r="F28" s="891"/>
      <c r="G28" s="892"/>
      <c r="H28" s="893"/>
      <c r="I28" s="50"/>
      <c r="J28" s="396"/>
      <c r="L28" s="718"/>
      <c r="M28" s="1086"/>
      <c r="N28" s="1086"/>
      <c r="O28" s="1086"/>
      <c r="P28" s="124"/>
      <c r="Q28" s="1100"/>
      <c r="R28" s="1100"/>
      <c r="S28" s="1100"/>
      <c r="T28" s="124"/>
      <c r="U28" s="536"/>
    </row>
    <row r="29" spans="1:22" ht="15.75" customHeight="1" x14ac:dyDescent="0.2">
      <c r="B29" s="480"/>
      <c r="C29" s="480"/>
      <c r="D29" s="480"/>
      <c r="E29" s="481"/>
      <c r="F29" s="16"/>
      <c r="G29" s="483" t="s">
        <v>229</v>
      </c>
      <c r="H29" s="29">
        <v>11.5</v>
      </c>
      <c r="I29" s="360"/>
      <c r="J29" s="396"/>
      <c r="L29" s="718"/>
      <c r="M29" s="1086"/>
      <c r="N29" s="1086"/>
      <c r="O29" s="1086"/>
      <c r="P29" s="124"/>
      <c r="Q29" s="1100"/>
      <c r="R29" s="1100"/>
      <c r="S29" s="1100"/>
      <c r="T29" s="124"/>
      <c r="U29" s="536"/>
    </row>
    <row r="30" spans="1:22" ht="15.75" customHeight="1" x14ac:dyDescent="0.2">
      <c r="B30" s="480"/>
      <c r="C30" s="480"/>
      <c r="D30" s="480"/>
      <c r="E30" s="481"/>
      <c r="F30" s="16"/>
      <c r="H30" s="29">
        <v>17.5</v>
      </c>
      <c r="I30" s="442"/>
      <c r="J30" s="396"/>
      <c r="L30" s="718"/>
      <c r="M30" s="1086"/>
      <c r="N30" s="1086"/>
      <c r="O30" s="1086"/>
      <c r="P30" s="124"/>
      <c r="Q30" s="1100"/>
      <c r="R30" s="1100"/>
      <c r="S30" s="1100"/>
      <c r="T30" s="124"/>
      <c r="U30" s="536"/>
    </row>
    <row r="31" spans="1:22" ht="15.75" customHeight="1" x14ac:dyDescent="0.2">
      <c r="B31" s="480"/>
      <c r="C31" s="480"/>
      <c r="D31" s="480"/>
      <c r="E31" s="481"/>
      <c r="F31" s="16"/>
      <c r="H31" s="29">
        <v>24</v>
      </c>
      <c r="I31" s="482"/>
      <c r="J31" s="140"/>
      <c r="L31" s="718"/>
      <c r="M31" s="1086"/>
      <c r="N31" s="1086"/>
      <c r="O31" s="1086"/>
      <c r="P31" s="124"/>
      <c r="Q31" s="1100"/>
      <c r="R31" s="1100"/>
      <c r="S31" s="1100"/>
      <c r="T31" s="124"/>
      <c r="U31" s="536"/>
    </row>
    <row r="32" spans="1:22" ht="15.75" customHeight="1" x14ac:dyDescent="0.2">
      <c r="B32" s="480"/>
      <c r="C32" s="480"/>
      <c r="D32" s="480"/>
      <c r="E32" s="797"/>
      <c r="F32" s="35"/>
      <c r="H32" s="482"/>
      <c r="I32" s="482"/>
      <c r="J32" s="408"/>
      <c r="M32" s="1086"/>
      <c r="N32" s="1086"/>
      <c r="O32" s="1086"/>
      <c r="P32" s="124"/>
      <c r="Q32" s="1100"/>
      <c r="R32" s="1100"/>
      <c r="S32" s="1100"/>
      <c r="T32" s="124"/>
      <c r="U32" s="536"/>
    </row>
    <row r="33" spans="2:21" ht="15.75" customHeight="1" x14ac:dyDescent="0.2">
      <c r="B33" s="480"/>
      <c r="C33" s="480"/>
      <c r="D33" s="480"/>
      <c r="E33" s="797"/>
      <c r="F33" s="798"/>
      <c r="H33" s="799"/>
      <c r="I33" s="482"/>
      <c r="J33" s="408"/>
      <c r="M33" s="1086"/>
      <c r="N33" s="1086"/>
      <c r="O33" s="1086"/>
      <c r="P33" s="124"/>
      <c r="Q33" s="1100"/>
      <c r="R33" s="1100"/>
      <c r="S33" s="1100"/>
      <c r="T33" s="124"/>
      <c r="U33" s="536"/>
    </row>
    <row r="34" spans="2:21" ht="15.75" customHeight="1" x14ac:dyDescent="0.2">
      <c r="B34" s="16"/>
      <c r="C34" s="16"/>
      <c r="D34" s="16"/>
      <c r="E34" s="8"/>
      <c r="F34" s="2"/>
      <c r="G34" s="1"/>
      <c r="H34" s="18"/>
      <c r="I34" s="4"/>
      <c r="J34" s="408"/>
      <c r="K34" s="487"/>
      <c r="L34" s="3"/>
    </row>
    <row r="35" spans="2:21" x14ac:dyDescent="0.2">
      <c r="J35" s="410"/>
      <c r="K35" s="487"/>
      <c r="L35" s="3"/>
    </row>
    <row r="36" spans="2:21" x14ac:dyDescent="0.2">
      <c r="J36" s="410"/>
      <c r="K36" s="487"/>
      <c r="L36" s="3"/>
    </row>
    <row r="37" spans="2:21" x14ac:dyDescent="0.2">
      <c r="K37" s="13"/>
      <c r="L37" s="3"/>
    </row>
    <row r="38" spans="2:21" x14ac:dyDescent="0.2">
      <c r="K38" s="13"/>
      <c r="L38" s="3"/>
    </row>
    <row r="39" spans="2:21" x14ac:dyDescent="0.2">
      <c r="K39" s="3"/>
      <c r="L39" s="3"/>
    </row>
    <row r="40" spans="2:21" x14ac:dyDescent="0.2">
      <c r="K40" s="233"/>
      <c r="L40" s="245"/>
    </row>
    <row r="41" spans="2:21" x14ac:dyDescent="0.2">
      <c r="K41" s="250"/>
      <c r="L41" s="206"/>
    </row>
    <row r="42" spans="2:21" x14ac:dyDescent="0.2">
      <c r="K42" s="13"/>
      <c r="L42" s="3"/>
    </row>
  </sheetData>
  <sheetProtection insertRows="0"/>
  <protectedRanges>
    <protectedRange sqref="B1:D1" name="Bereich1_1_1_1_1_1_1_1_1"/>
    <protectedRange sqref="A3 A1 A2:D2" name="Bereich1_1_1_1_1_1_1_1"/>
    <protectedRange sqref="E1:I3" name="Bereich1_1_1_1_1_1_1_1_5"/>
    <protectedRange sqref="A4" name="Bereich1_1_1_1_1_1_1_1_4_1"/>
    <protectedRange sqref="B4:D4" name="Bereich1_1_1_1_1_1_1_1_3_1_1_3_1"/>
    <protectedRange sqref="E4" name="Bereich1_1_1_1_1_1_1_1_3_1_4"/>
    <protectedRange sqref="F4" name="Bereich1_1_1_1_1_1_1_1_3_1_5"/>
    <protectedRange sqref="G4" name="Bereich1_1_1_1_1_1_1_1_3_1_6"/>
    <protectedRange sqref="H4:I4" name="Bereich1_1_1_1_1_1_1_1_3_1_8_1"/>
    <protectedRange sqref="J1:J3" name="Bereich1_1_1_1_1_1_1_1_5_2"/>
    <protectedRange sqref="J4" name="Bereich1_1_1_1_1_1_1_1_3_1_10_1"/>
    <protectedRange sqref="K1:L3" name="Bereich1_1_1_1_1_1_1_1_5_1"/>
    <protectedRange sqref="K4" name="Bereich1_1_1_1_1_1_1_1_3_1_2_1"/>
    <protectedRange sqref="L4" name="Bereich1_1_1_1_1_1_1_1_3_1_2_3"/>
    <protectedRange sqref="T4" name="Bereich1_1_1_1_1_1_1_1_3_1_2_4"/>
  </protectedRanges>
  <mergeCells count="50">
    <mergeCell ref="K4:K5"/>
    <mergeCell ref="L4:L5"/>
    <mergeCell ref="M4:O4"/>
    <mergeCell ref="Q4:S4"/>
    <mergeCell ref="M14:O14"/>
    <mergeCell ref="D4:D5"/>
    <mergeCell ref="C4:C5"/>
    <mergeCell ref="B4:B5"/>
    <mergeCell ref="J4:J5"/>
    <mergeCell ref="I4:I5"/>
    <mergeCell ref="H4:H5"/>
    <mergeCell ref="G4:G5"/>
    <mergeCell ref="F4:F5"/>
    <mergeCell ref="E4:E5"/>
    <mergeCell ref="M29:O29"/>
    <mergeCell ref="Q29:S29"/>
    <mergeCell ref="M28:O28"/>
    <mergeCell ref="Q28:S28"/>
    <mergeCell ref="M17:O17"/>
    <mergeCell ref="Q17:S17"/>
    <mergeCell ref="M21:O21"/>
    <mergeCell ref="Q20:S20"/>
    <mergeCell ref="Q21:S21"/>
    <mergeCell ref="M27:O27"/>
    <mergeCell ref="Q26:S26"/>
    <mergeCell ref="Q27:S27"/>
    <mergeCell ref="M23:O23"/>
    <mergeCell ref="Q23:S23"/>
    <mergeCell ref="M24:O24"/>
    <mergeCell ref="Q24:S24"/>
    <mergeCell ref="M33:O33"/>
    <mergeCell ref="Q33:S33"/>
    <mergeCell ref="M30:O30"/>
    <mergeCell ref="Q30:S30"/>
    <mergeCell ref="M31:O31"/>
    <mergeCell ref="Q31:S31"/>
    <mergeCell ref="M32:O32"/>
    <mergeCell ref="Q32:S32"/>
    <mergeCell ref="V4:V5"/>
    <mergeCell ref="T4:T5"/>
    <mergeCell ref="U4:U5"/>
    <mergeCell ref="Q25:S25"/>
    <mergeCell ref="M26:O26"/>
    <mergeCell ref="M18:O18"/>
    <mergeCell ref="Q18:S18"/>
    <mergeCell ref="M20:O20"/>
    <mergeCell ref="M15:O15"/>
    <mergeCell ref="Q15:S15"/>
    <mergeCell ref="Q14:S14"/>
    <mergeCell ref="M25:O25"/>
  </mergeCells>
  <dataValidations count="1">
    <dataValidation type="list" allowBlank="1" showInputMessage="1" showErrorMessage="1" sqref="H6" xr:uid="{6CEAF091-69D8-4A9C-878D-75A67D241DE5}">
      <formula1>$H$29:$H$31</formula1>
    </dataValidation>
  </dataValidations>
  <pageMargins left="0.25" right="0.25" top="0.75" bottom="0.75" header="0.3" footer="0.3"/>
  <pageSetup paperSize="9"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CC73E-21FE-46A2-A73B-A71A4A27CEE2}">
  <dimension ref="A1:AI207"/>
  <sheetViews>
    <sheetView topLeftCell="A66" zoomScaleNormal="100" workbookViewId="0">
      <selection activeCell="A75" sqref="A75:XFD75"/>
    </sheetView>
  </sheetViews>
  <sheetFormatPr baseColWidth="10" defaultRowHeight="12.75" customHeight="1" x14ac:dyDescent="0.2"/>
  <cols>
    <col min="1" max="1" width="26.7109375" bestFit="1" customWidth="1"/>
    <col min="2" max="2" width="18.7109375" style="529" customWidth="1"/>
    <col min="3" max="4" width="3.28515625" customWidth="1"/>
    <col min="5" max="5" width="12.140625" style="963" customWidth="1"/>
    <col min="6" max="6" width="11.42578125" style="784" bestFit="1" customWidth="1"/>
    <col min="7" max="7" width="9.140625" style="537" bestFit="1" customWidth="1"/>
    <col min="8" max="8" width="56.85546875" style="537" customWidth="1"/>
    <col min="9" max="9" width="11.28515625" style="776" bestFit="1" customWidth="1"/>
    <col min="10" max="10" width="10.5703125" style="537" bestFit="1" customWidth="1"/>
    <col min="11" max="12" width="13.42578125" style="776" bestFit="1" customWidth="1"/>
    <col min="13" max="13" width="10.42578125" style="1040" customWidth="1"/>
    <col min="14" max="14" width="10.28515625" style="967" customWidth="1"/>
    <col min="15" max="15" width="12.140625" style="537" customWidth="1"/>
    <col min="16" max="16" width="33.5703125" customWidth="1"/>
    <col min="17" max="30" width="11.42578125" customWidth="1"/>
  </cols>
  <sheetData>
    <row r="1" spans="1:33" ht="40.5" customHeight="1" thickBot="1" x14ac:dyDescent="0.25">
      <c r="E1" s="970" t="s">
        <v>397</v>
      </c>
    </row>
    <row r="2" spans="1:33" ht="30.75" customHeight="1" x14ac:dyDescent="0.2">
      <c r="A2" s="783" t="str">
        <f>START!$A19</f>
        <v>Anfrage vom:</v>
      </c>
      <c r="B2" s="956">
        <f>START!$B19</f>
        <v>0</v>
      </c>
      <c r="E2" s="969" t="s">
        <v>185</v>
      </c>
      <c r="F2" s="968" t="s">
        <v>183</v>
      </c>
      <c r="G2" s="764" t="s">
        <v>184</v>
      </c>
      <c r="H2" s="785" t="s">
        <v>0</v>
      </c>
      <c r="I2" s="786" t="s">
        <v>1</v>
      </c>
      <c r="J2" s="785" t="s">
        <v>196</v>
      </c>
      <c r="K2" s="965" t="s">
        <v>285</v>
      </c>
      <c r="L2" s="965" t="s">
        <v>286</v>
      </c>
      <c r="M2" s="1041" t="s">
        <v>393</v>
      </c>
      <c r="N2" s="1044" t="s">
        <v>311</v>
      </c>
      <c r="O2" s="964" t="s">
        <v>368</v>
      </c>
      <c r="P2" s="973" t="s">
        <v>398</v>
      </c>
    </row>
    <row r="3" spans="1:33" ht="12.75" customHeight="1" x14ac:dyDescent="0.2">
      <c r="A3" s="783"/>
      <c r="B3" s="955"/>
      <c r="E3" s="956" t="b">
        <f>IF('YOSIMA, CLAYFIX etc.'!B8&gt;0,'YOSIMA, CLAYFIX etc.'!B8)</f>
        <v>0</v>
      </c>
      <c r="F3" s="956" t="b">
        <f>IF('YOSIMA, CLAYFIX etc.'!$B8&gt;0,'YOSIMA, CLAYFIX etc.'!C8)</f>
        <v>0</v>
      </c>
      <c r="G3" s="956" t="b">
        <f>IF('YOSIMA, CLAYFIX etc.'!$B8&gt;0,'YOSIMA, CLAYFIX etc.'!D8)</f>
        <v>0</v>
      </c>
      <c r="H3" s="966" t="b">
        <f>IF('YOSIMA, CLAYFIX etc.'!$B8&gt;0,'YOSIMA, CLAYFIX etc.'!E8)</f>
        <v>0</v>
      </c>
      <c r="I3" s="966" t="b">
        <f>IF('YOSIMA, CLAYFIX etc.'!$B8&gt;0,'YOSIMA, CLAYFIX etc.'!F8)</f>
        <v>0</v>
      </c>
      <c r="J3" s="966" t="b">
        <f>IF('YOSIMA, CLAYFIX etc.'!$B8&gt;0,'YOSIMA, CLAYFIX etc.'!G8)</f>
        <v>0</v>
      </c>
      <c r="K3" s="955"/>
      <c r="L3" s="955"/>
      <c r="M3" s="1042" t="b">
        <f>IF('YOSIMA, CLAYFIX etc.'!$B8&gt;0,'YOSIMA, CLAYFIX etc.'!K8)</f>
        <v>0</v>
      </c>
      <c r="N3" s="1045" t="b">
        <f>IF('YOSIMA, CLAYFIX etc.'!$B8&gt;0,'YOSIMA, CLAYFIX etc.'!X8)</f>
        <v>0</v>
      </c>
      <c r="O3" s="966" t="b">
        <f>IF('YOSIMA, CLAYFIX etc.'!$B8&gt;0,'YOSIMA, CLAYFIX etc.'!Y8)</f>
        <v>0</v>
      </c>
      <c r="P3" s="783"/>
      <c r="Q3" s="537"/>
      <c r="R3" s="537"/>
      <c r="S3" s="537"/>
      <c r="T3" s="537"/>
      <c r="U3" s="537"/>
      <c r="V3" s="537"/>
      <c r="W3" s="537"/>
      <c r="Z3" s="537"/>
      <c r="AA3" s="537"/>
      <c r="AB3" s="537"/>
      <c r="AC3" s="537"/>
      <c r="AD3" s="537"/>
      <c r="AE3" s="537"/>
      <c r="AF3" s="537"/>
      <c r="AG3" s="537"/>
    </row>
    <row r="4" spans="1:33" ht="12.75" customHeight="1" x14ac:dyDescent="0.2">
      <c r="A4" s="783" t="str">
        <f>START!$A21</f>
        <v>Team:</v>
      </c>
      <c r="B4" s="956">
        <f>START!$B21</f>
        <v>0</v>
      </c>
      <c r="E4" s="956" t="b">
        <f>IF('YOSIMA, CLAYFIX etc.'!B9&gt;0,'YOSIMA, CLAYFIX etc.'!B9)</f>
        <v>0</v>
      </c>
      <c r="F4" s="956" t="b">
        <f>IF('YOSIMA, CLAYFIX etc.'!$B9&gt;0,'YOSIMA, CLAYFIX etc.'!C9)</f>
        <v>0</v>
      </c>
      <c r="G4" s="956" t="b">
        <f>IF('YOSIMA, CLAYFIX etc.'!$B9&gt;0,'YOSIMA, CLAYFIX etc.'!D9)</f>
        <v>0</v>
      </c>
      <c r="H4" s="966" t="b">
        <f>IF('YOSIMA, CLAYFIX etc.'!$B9&gt;0,'YOSIMA, CLAYFIX etc.'!E9)</f>
        <v>0</v>
      </c>
      <c r="I4" s="966" t="b">
        <f>IF('YOSIMA, CLAYFIX etc.'!$B9&gt;0,'YOSIMA, CLAYFIX etc.'!F9)</f>
        <v>0</v>
      </c>
      <c r="J4" s="966" t="b">
        <f>IF('YOSIMA, CLAYFIX etc.'!$B9&gt;0,'YOSIMA, CLAYFIX etc.'!G9)</f>
        <v>0</v>
      </c>
      <c r="K4" s="955"/>
      <c r="L4" s="955"/>
      <c r="M4" s="1042" t="b">
        <f>IF('YOSIMA, CLAYFIX etc.'!$B9&gt;0,'YOSIMA, CLAYFIX etc.'!K9)</f>
        <v>0</v>
      </c>
      <c r="N4" s="1045" t="b">
        <f>IF('YOSIMA, CLAYFIX etc.'!$B9&gt;0,'YOSIMA, CLAYFIX etc.'!X9)</f>
        <v>0</v>
      </c>
      <c r="O4" s="966" t="b">
        <f>IF('YOSIMA, CLAYFIX etc.'!$B9&gt;0,'YOSIMA, CLAYFIX etc.'!Y9)</f>
        <v>0</v>
      </c>
      <c r="P4" s="783"/>
      <c r="Q4" s="537"/>
      <c r="R4" s="537"/>
      <c r="S4" s="537"/>
      <c r="T4" s="537"/>
      <c r="U4" s="537"/>
      <c r="V4" s="537"/>
      <c r="W4" s="537"/>
      <c r="Z4" s="537"/>
      <c r="AA4" s="537"/>
      <c r="AB4" s="537"/>
      <c r="AC4" s="537"/>
      <c r="AD4" s="537"/>
      <c r="AE4" s="537"/>
      <c r="AF4" s="537"/>
      <c r="AG4" s="537"/>
    </row>
    <row r="5" spans="1:33" ht="12.75" customHeight="1" x14ac:dyDescent="0.2">
      <c r="A5" s="783" t="str">
        <f>START!$A22</f>
        <v>bearbeitet von (Kürzel):</v>
      </c>
      <c r="B5" s="956">
        <f>START!$B22</f>
        <v>0</v>
      </c>
      <c r="E5" s="956" t="b">
        <f>IF('YOSIMA, CLAYFIX etc.'!B10&gt;0,'YOSIMA, CLAYFIX etc.'!B10)</f>
        <v>0</v>
      </c>
      <c r="F5" s="956" t="b">
        <f>IF('YOSIMA, CLAYFIX etc.'!$B10&gt;0,'YOSIMA, CLAYFIX etc.'!C10)</f>
        <v>0</v>
      </c>
      <c r="G5" s="956" t="b">
        <f>IF('YOSIMA, CLAYFIX etc.'!$B10&gt;0,'YOSIMA, CLAYFIX etc.'!D10)</f>
        <v>0</v>
      </c>
      <c r="H5" s="966" t="b">
        <f>IF('YOSIMA, CLAYFIX etc.'!$B10&gt;0,'YOSIMA, CLAYFIX etc.'!E10)</f>
        <v>0</v>
      </c>
      <c r="I5" s="966" t="b">
        <f>IF('YOSIMA, CLAYFIX etc.'!$B10&gt;0,'YOSIMA, CLAYFIX etc.'!F10)</f>
        <v>0</v>
      </c>
      <c r="J5" s="966" t="b">
        <f>IF('YOSIMA, CLAYFIX etc.'!$B10&gt;0,'YOSIMA, CLAYFIX etc.'!G10)</f>
        <v>0</v>
      </c>
      <c r="K5" s="955"/>
      <c r="L5" s="955"/>
      <c r="M5" s="1042" t="b">
        <f>IF('YOSIMA, CLAYFIX etc.'!$B10&gt;0,'YOSIMA, CLAYFIX etc.'!K10)</f>
        <v>0</v>
      </c>
      <c r="N5" s="1045" t="b">
        <f>IF('YOSIMA, CLAYFIX etc.'!$B10&gt;0,'YOSIMA, CLAYFIX etc.'!X10)</f>
        <v>0</v>
      </c>
      <c r="O5" s="966" t="b">
        <f>IF('YOSIMA, CLAYFIX etc.'!$B10&gt;0,'YOSIMA, CLAYFIX etc.'!Y10)</f>
        <v>0</v>
      </c>
      <c r="P5" s="783"/>
      <c r="Q5" s="537"/>
      <c r="R5" s="537"/>
      <c r="S5" s="537"/>
      <c r="T5" s="537"/>
      <c r="U5" s="537"/>
      <c r="V5" s="537"/>
      <c r="W5" s="537"/>
      <c r="Z5" s="537"/>
      <c r="AA5" s="537"/>
      <c r="AB5" s="537"/>
      <c r="AC5" s="537"/>
      <c r="AD5" s="537"/>
      <c r="AE5" s="537"/>
      <c r="AF5" s="537"/>
      <c r="AG5" s="537"/>
    </row>
    <row r="6" spans="1:33" ht="12.75" customHeight="1" x14ac:dyDescent="0.2">
      <c r="A6" s="783" t="str">
        <f>START!$A23</f>
        <v>am:</v>
      </c>
      <c r="B6" s="956">
        <f>START!$B23</f>
        <v>0</v>
      </c>
      <c r="E6" s="956" t="b">
        <f>IF('YOSIMA, CLAYFIX etc.'!B11&gt;0,'YOSIMA, CLAYFIX etc.'!B11)</f>
        <v>0</v>
      </c>
      <c r="F6" s="956" t="b">
        <f>IF('YOSIMA, CLAYFIX etc.'!$B11&gt;0,'YOSIMA, CLAYFIX etc.'!C11)</f>
        <v>0</v>
      </c>
      <c r="G6" s="956" t="b">
        <f>IF('YOSIMA, CLAYFIX etc.'!$B11&gt;0,'YOSIMA, CLAYFIX etc.'!D11)</f>
        <v>0</v>
      </c>
      <c r="H6" s="966" t="b">
        <f>IF('YOSIMA, CLAYFIX etc.'!$B11&gt;0,'YOSIMA, CLAYFIX etc.'!E11)</f>
        <v>0</v>
      </c>
      <c r="I6" s="966" t="b">
        <f>IF('YOSIMA, CLAYFIX etc.'!$B11&gt;0,'YOSIMA, CLAYFIX etc.'!F11)</f>
        <v>0</v>
      </c>
      <c r="J6" s="966" t="b">
        <f>IF('YOSIMA, CLAYFIX etc.'!$B11&gt;0,'YOSIMA, CLAYFIX etc.'!G11)</f>
        <v>0</v>
      </c>
      <c r="K6" s="956" t="b">
        <f>IF('YOSIMA, CLAYFIX etc.'!$B11&gt;0,'YOSIMA, CLAYFIX etc.'!H11)</f>
        <v>0</v>
      </c>
      <c r="L6" s="956" t="b">
        <f>IF('YOSIMA, CLAYFIX etc.'!$B11&gt;0,'YOSIMA, CLAYFIX etc.'!I11)</f>
        <v>0</v>
      </c>
      <c r="M6" s="1042" t="b">
        <f>IF('YOSIMA, CLAYFIX etc.'!$B11&gt;0,'YOSIMA, CLAYFIX etc.'!K11)</f>
        <v>0</v>
      </c>
      <c r="N6" s="1045" t="b">
        <f>IF('YOSIMA, CLAYFIX etc.'!$B11&gt;0,'YOSIMA, CLAYFIX etc.'!X11)</f>
        <v>0</v>
      </c>
      <c r="O6" s="966" t="b">
        <f>IF('YOSIMA, CLAYFIX etc.'!$B11&gt;0,'YOSIMA, CLAYFIX etc.'!Y11)</f>
        <v>0</v>
      </c>
      <c r="P6" s="783"/>
      <c r="Q6" s="537"/>
      <c r="R6" s="537"/>
      <c r="S6" s="537"/>
      <c r="T6" s="537"/>
      <c r="U6" s="537"/>
      <c r="V6" s="537"/>
      <c r="W6" s="537"/>
      <c r="Z6" s="537"/>
      <c r="AA6" s="537"/>
      <c r="AB6" s="537"/>
      <c r="AC6" s="537"/>
      <c r="AD6" s="537"/>
      <c r="AE6" s="537"/>
      <c r="AF6" s="537"/>
      <c r="AG6" s="537"/>
    </row>
    <row r="7" spans="1:33" ht="12.75" customHeight="1" x14ac:dyDescent="0.2">
      <c r="A7" s="783"/>
      <c r="B7" s="955"/>
      <c r="E7" s="956" t="b">
        <f>IF('YOSIMA, CLAYFIX etc.'!B12&gt;0,'YOSIMA, CLAYFIX etc.'!B12)</f>
        <v>0</v>
      </c>
      <c r="F7" s="956" t="b">
        <f>IF('YOSIMA, CLAYFIX etc.'!$B12&gt;0,'YOSIMA, CLAYFIX etc.'!C12)</f>
        <v>0</v>
      </c>
      <c r="G7" s="956" t="b">
        <f>IF('YOSIMA, CLAYFIX etc.'!$B12&gt;0,'YOSIMA, CLAYFIX etc.'!D12)</f>
        <v>0</v>
      </c>
      <c r="H7" s="966" t="b">
        <f>IF('YOSIMA, CLAYFIX etc.'!$B12&gt;0,'YOSIMA, CLAYFIX etc.'!E12)</f>
        <v>0</v>
      </c>
      <c r="I7" s="966" t="b">
        <f>IF('YOSIMA, CLAYFIX etc.'!$B12&gt;0,'YOSIMA, CLAYFIX etc.'!F12)</f>
        <v>0</v>
      </c>
      <c r="J7" s="966" t="b">
        <f>IF('YOSIMA, CLAYFIX etc.'!$B12&gt;0,'YOSIMA, CLAYFIX etc.'!G12)</f>
        <v>0</v>
      </c>
      <c r="K7" s="956" t="b">
        <f>IF('YOSIMA, CLAYFIX etc.'!$B12&gt;0,'YOSIMA, CLAYFIX etc.'!H12)</f>
        <v>0</v>
      </c>
      <c r="L7" s="956" t="b">
        <f>IF('YOSIMA, CLAYFIX etc.'!$B12&gt;0,'YOSIMA, CLAYFIX etc.'!I12)</f>
        <v>0</v>
      </c>
      <c r="M7" s="1042" t="b">
        <f>IF('YOSIMA, CLAYFIX etc.'!$B12&gt;0,'YOSIMA, CLAYFIX etc.'!K12)</f>
        <v>0</v>
      </c>
      <c r="N7" s="1045" t="b">
        <f>IF('YOSIMA, CLAYFIX etc.'!$B12&gt;0,'YOSIMA, CLAYFIX etc.'!X12)</f>
        <v>0</v>
      </c>
      <c r="O7" s="966" t="b">
        <f>IF('YOSIMA, CLAYFIX etc.'!$B12&gt;0,'YOSIMA, CLAYFIX etc.'!Y12)</f>
        <v>0</v>
      </c>
      <c r="P7" s="783"/>
      <c r="Q7" s="537"/>
      <c r="R7" s="537"/>
      <c r="S7" s="537"/>
      <c r="T7" s="537"/>
      <c r="U7" s="537"/>
      <c r="V7" s="537"/>
      <c r="W7" s="537"/>
      <c r="Z7" s="537"/>
      <c r="AA7" s="537"/>
      <c r="AB7" s="537"/>
      <c r="AC7" s="537"/>
      <c r="AD7" s="537"/>
      <c r="AE7" s="537"/>
      <c r="AF7" s="537"/>
      <c r="AG7" s="537"/>
    </row>
    <row r="8" spans="1:33" ht="12.75" customHeight="1" x14ac:dyDescent="0.2">
      <c r="A8" s="783" t="str">
        <f>START!$A25</f>
        <v>Kundenkontakt:</v>
      </c>
      <c r="B8" s="956">
        <f>START!$B25</f>
        <v>0</v>
      </c>
      <c r="E8" s="956" t="b">
        <f>IF('YOSIMA, CLAYFIX etc.'!B13&gt;0,'YOSIMA, CLAYFIX etc.'!B13)</f>
        <v>0</v>
      </c>
      <c r="F8" s="956" t="b">
        <f>IF('YOSIMA, CLAYFIX etc.'!$B13&gt;0,'YOSIMA, CLAYFIX etc.'!C13)</f>
        <v>0</v>
      </c>
      <c r="G8" s="956" t="b">
        <f>IF('YOSIMA, CLAYFIX etc.'!$B13&gt;0,'YOSIMA, CLAYFIX etc.'!D13)</f>
        <v>0</v>
      </c>
      <c r="H8" s="966" t="b">
        <f>IF('YOSIMA, CLAYFIX etc.'!$B13&gt;0,'YOSIMA, CLAYFIX etc.'!E13)</f>
        <v>0</v>
      </c>
      <c r="I8" s="966" t="b">
        <f>IF('YOSIMA, CLAYFIX etc.'!$B13&gt;0,'YOSIMA, CLAYFIX etc.'!F13)</f>
        <v>0</v>
      </c>
      <c r="J8" s="966" t="b">
        <f>IF('YOSIMA, CLAYFIX etc.'!$B13&gt;0,'YOSIMA, CLAYFIX etc.'!G13)</f>
        <v>0</v>
      </c>
      <c r="K8" s="955"/>
      <c r="L8" s="955"/>
      <c r="M8" s="1042" t="b">
        <f>IF('YOSIMA, CLAYFIX etc.'!$B13&gt;0,'YOSIMA, CLAYFIX etc.'!K13)</f>
        <v>0</v>
      </c>
      <c r="N8" s="1045" t="b">
        <f>IF('YOSIMA, CLAYFIX etc.'!$B13&gt;0,'YOSIMA, CLAYFIX etc.'!X13)</f>
        <v>0</v>
      </c>
      <c r="O8" s="966" t="b">
        <f>IF('YOSIMA, CLAYFIX etc.'!$B13&gt;0,'YOSIMA, CLAYFIX etc.'!Y13)</f>
        <v>0</v>
      </c>
      <c r="P8" s="971"/>
      <c r="Q8" s="537"/>
      <c r="R8" s="537"/>
      <c r="S8" s="537"/>
      <c r="T8" s="537"/>
      <c r="U8" s="537"/>
      <c r="V8" s="537"/>
      <c r="W8" s="537"/>
      <c r="Z8" s="537"/>
      <c r="AA8" s="537"/>
      <c r="AB8" s="537"/>
      <c r="AC8" s="537"/>
      <c r="AD8" s="537"/>
      <c r="AE8" s="537"/>
      <c r="AF8" s="537"/>
      <c r="AG8" s="537"/>
    </row>
    <row r="9" spans="1:33" ht="12.75" customHeight="1" x14ac:dyDescent="0.2">
      <c r="A9" s="783" t="str">
        <f>START!$A26</f>
        <v>Telefon:</v>
      </c>
      <c r="B9" s="956">
        <f>START!$B26</f>
        <v>0</v>
      </c>
      <c r="E9" s="956" t="b">
        <f>IF('YOSIMA, CLAYFIX etc.'!B14&gt;0,'YOSIMA, CLAYFIX etc.'!B14)</f>
        <v>0</v>
      </c>
      <c r="F9" s="956" t="b">
        <f>IF('YOSIMA, CLAYFIX etc.'!$B14&gt;0,'YOSIMA, CLAYFIX etc.'!C14)</f>
        <v>0</v>
      </c>
      <c r="G9" s="956" t="b">
        <f>IF('YOSIMA, CLAYFIX etc.'!$B14&gt;0,'YOSIMA, CLAYFIX etc.'!D14)</f>
        <v>0</v>
      </c>
      <c r="H9" s="966" t="b">
        <f>IF('YOSIMA, CLAYFIX etc.'!$B14&gt;0,'YOSIMA, CLAYFIX etc.'!E14)</f>
        <v>0</v>
      </c>
      <c r="I9" s="966" t="b">
        <f>IF('YOSIMA, CLAYFIX etc.'!$B14&gt;0,'YOSIMA, CLAYFIX etc.'!F14)</f>
        <v>0</v>
      </c>
      <c r="J9" s="966" t="b">
        <f>IF('YOSIMA, CLAYFIX etc.'!$B14&gt;0,'YOSIMA, CLAYFIX etc.'!G14)</f>
        <v>0</v>
      </c>
      <c r="K9" s="955"/>
      <c r="L9" s="955"/>
      <c r="M9" s="1042" t="b">
        <f>IF('YOSIMA, CLAYFIX etc.'!$B14&gt;0,'YOSIMA, CLAYFIX etc.'!K14)</f>
        <v>0</v>
      </c>
      <c r="N9" s="1045" t="b">
        <f>IF('YOSIMA, CLAYFIX etc.'!$B14&gt;0,'YOSIMA, CLAYFIX etc.'!X14)</f>
        <v>0</v>
      </c>
      <c r="O9" s="966" t="b">
        <f>IF('YOSIMA, CLAYFIX etc.'!$B14&gt;0,'YOSIMA, CLAYFIX etc.'!Y14)</f>
        <v>0</v>
      </c>
      <c r="P9" s="971"/>
      <c r="Q9" s="537"/>
      <c r="R9" s="537"/>
      <c r="S9" s="537"/>
      <c r="T9" s="537"/>
      <c r="U9" s="537"/>
      <c r="V9" s="537"/>
      <c r="W9" s="537"/>
      <c r="Z9" s="537"/>
      <c r="AA9" s="537"/>
      <c r="AB9" s="537"/>
      <c r="AC9" s="537"/>
      <c r="AD9" s="537"/>
      <c r="AE9" s="537"/>
      <c r="AF9" s="537"/>
      <c r="AG9" s="537"/>
    </row>
    <row r="10" spans="1:33" ht="12.75" customHeight="1" x14ac:dyDescent="0.2">
      <c r="A10" s="783" t="str">
        <f>START!$A27</f>
        <v>Email:</v>
      </c>
      <c r="B10" s="956">
        <f>START!$B27</f>
        <v>0</v>
      </c>
      <c r="E10" s="956" t="b">
        <f>IF('YOSIMA, CLAYFIX etc.'!B15&gt;0,'YOSIMA, CLAYFIX etc.'!B15)</f>
        <v>0</v>
      </c>
      <c r="F10" s="956" t="b">
        <f>IF('YOSIMA, CLAYFIX etc.'!$B15&gt;0,'YOSIMA, CLAYFIX etc.'!C15)</f>
        <v>0</v>
      </c>
      <c r="G10" s="956" t="b">
        <f>IF('YOSIMA, CLAYFIX etc.'!$B15&gt;0,'YOSIMA, CLAYFIX etc.'!D15)</f>
        <v>0</v>
      </c>
      <c r="H10" s="966" t="b">
        <f>IF('YOSIMA, CLAYFIX etc.'!$B15&gt;0,'YOSIMA, CLAYFIX etc.'!E15)</f>
        <v>0</v>
      </c>
      <c r="I10" s="966" t="b">
        <f>IF('YOSIMA, CLAYFIX etc.'!$B15&gt;0,'YOSIMA, CLAYFIX etc.'!F15)</f>
        <v>0</v>
      </c>
      <c r="J10" s="966" t="b">
        <f>IF('YOSIMA, CLAYFIX etc.'!$B15&gt;0,'YOSIMA, CLAYFIX etc.'!G15)</f>
        <v>0</v>
      </c>
      <c r="K10" s="955"/>
      <c r="L10" s="955"/>
      <c r="M10" s="1042" t="b">
        <f>IF('YOSIMA, CLAYFIX etc.'!$B15&gt;0,'YOSIMA, CLAYFIX etc.'!K15)</f>
        <v>0</v>
      </c>
      <c r="N10" s="1045" t="b">
        <f>IF('YOSIMA, CLAYFIX etc.'!$B15&gt;0,'YOSIMA, CLAYFIX etc.'!X15)</f>
        <v>0</v>
      </c>
      <c r="O10" s="966" t="b">
        <f>IF('YOSIMA, CLAYFIX etc.'!$B15&gt;0,'YOSIMA, CLAYFIX etc.'!Y15)</f>
        <v>0</v>
      </c>
      <c r="P10" s="971"/>
      <c r="Q10" s="537"/>
      <c r="R10" s="537"/>
      <c r="S10" s="537"/>
      <c r="T10" s="537"/>
      <c r="U10" s="537"/>
      <c r="V10" s="537"/>
      <c r="W10" s="537"/>
      <c r="Z10" s="537"/>
      <c r="AA10" s="537"/>
      <c r="AB10" s="537"/>
      <c r="AC10" s="537"/>
      <c r="AD10" s="537"/>
      <c r="AE10" s="537"/>
      <c r="AF10" s="537"/>
      <c r="AG10" s="537"/>
    </row>
    <row r="11" spans="1:33" ht="12.75" customHeight="1" x14ac:dyDescent="0.2">
      <c r="A11" s="783"/>
      <c r="B11" s="955"/>
      <c r="E11" s="956" t="b">
        <f>IF('YOSIMA, CLAYFIX etc.'!B16&gt;0,'YOSIMA, CLAYFIX etc.'!B16)</f>
        <v>0</v>
      </c>
      <c r="F11" s="956" t="b">
        <f>IF('YOSIMA, CLAYFIX etc.'!$B16&gt;0,'YOSIMA, CLAYFIX etc.'!C16)</f>
        <v>0</v>
      </c>
      <c r="G11" s="956" t="b">
        <f>IF('YOSIMA, CLAYFIX etc.'!$B16&gt;0,'YOSIMA, CLAYFIX etc.'!D16)</f>
        <v>0</v>
      </c>
      <c r="H11" s="966" t="b">
        <f>IF('YOSIMA, CLAYFIX etc.'!$B16&gt;0,'YOSIMA, CLAYFIX etc.'!E16)</f>
        <v>0</v>
      </c>
      <c r="I11" s="966" t="b">
        <f>IF('YOSIMA, CLAYFIX etc.'!$B16&gt;0,'YOSIMA, CLAYFIX etc.'!F16)</f>
        <v>0</v>
      </c>
      <c r="J11" s="966" t="b">
        <f>IF('YOSIMA, CLAYFIX etc.'!$B16&gt;0,'YOSIMA, CLAYFIX etc.'!G16)</f>
        <v>0</v>
      </c>
      <c r="K11" s="955"/>
      <c r="L11" s="955"/>
      <c r="M11" s="1042" t="b">
        <f>IF('YOSIMA, CLAYFIX etc.'!$B16&gt;0,'YOSIMA, CLAYFIX etc.'!K16)</f>
        <v>0</v>
      </c>
      <c r="N11" s="1045" t="b">
        <f>IF('YOSIMA, CLAYFIX etc.'!$B16&gt;0,'YOSIMA, CLAYFIX etc.'!X16)</f>
        <v>0</v>
      </c>
      <c r="O11" s="966" t="b">
        <f>IF('YOSIMA, CLAYFIX etc.'!$B16&gt;0,'YOSIMA, CLAYFIX etc.'!Y16)</f>
        <v>0</v>
      </c>
      <c r="P11" s="971"/>
      <c r="Q11" s="537"/>
      <c r="R11" s="537"/>
      <c r="S11" s="537"/>
      <c r="T11" s="537"/>
      <c r="U11" s="537"/>
      <c r="V11" s="537"/>
      <c r="W11" s="537"/>
      <c r="Z11" s="537"/>
      <c r="AA11" s="537"/>
      <c r="AB11" s="537"/>
      <c r="AC11" s="537"/>
      <c r="AD11" s="537"/>
      <c r="AE11" s="537"/>
      <c r="AF11" s="537"/>
      <c r="AG11" s="537"/>
    </row>
    <row r="12" spans="1:33" ht="12.75" customHeight="1" x14ac:dyDescent="0.2">
      <c r="A12" s="783" t="str">
        <f>START!$A29</f>
        <v>ggf. abgest. mit Kunde, Name:</v>
      </c>
      <c r="B12" s="956">
        <f>START!$B29</f>
        <v>0</v>
      </c>
      <c r="E12" s="956" t="b">
        <f>IF('YOSIMA, CLAYFIX etc.'!B17&gt;0,'YOSIMA, CLAYFIX etc.'!B17)</f>
        <v>0</v>
      </c>
      <c r="F12" s="956" t="b">
        <f>IF('YOSIMA, CLAYFIX etc.'!$B17&gt;0,'YOSIMA, CLAYFIX etc.'!C17)</f>
        <v>0</v>
      </c>
      <c r="G12" s="956" t="b">
        <f>IF('YOSIMA, CLAYFIX etc.'!$B17&gt;0,'YOSIMA, CLAYFIX etc.'!D17)</f>
        <v>0</v>
      </c>
      <c r="H12" s="966" t="b">
        <f>IF('YOSIMA, CLAYFIX etc.'!$B17&gt;0,'YOSIMA, CLAYFIX etc.'!E17)</f>
        <v>0</v>
      </c>
      <c r="I12" s="966" t="b">
        <f>IF('YOSIMA, CLAYFIX etc.'!$B17&gt;0,'YOSIMA, CLAYFIX etc.'!F17)</f>
        <v>0</v>
      </c>
      <c r="J12" s="966" t="b">
        <f>IF('YOSIMA, CLAYFIX etc.'!$B17&gt;0,'YOSIMA, CLAYFIX etc.'!G17)</f>
        <v>0</v>
      </c>
      <c r="K12" s="955"/>
      <c r="L12" s="955"/>
      <c r="M12" s="1042" t="b">
        <f>IF('YOSIMA, CLAYFIX etc.'!$B17&gt;0,'YOSIMA, CLAYFIX etc.'!K17)</f>
        <v>0</v>
      </c>
      <c r="N12" s="1045" t="b">
        <f>IF('YOSIMA, CLAYFIX etc.'!$B17&gt;0,'YOSIMA, CLAYFIX etc.'!X17)</f>
        <v>0</v>
      </c>
      <c r="O12" s="966" t="b">
        <f>IF('YOSIMA, CLAYFIX etc.'!$B17&gt;0,'YOSIMA, CLAYFIX etc.'!Y17)</f>
        <v>0</v>
      </c>
      <c r="P12" s="971"/>
      <c r="Q12" s="537"/>
      <c r="R12" s="537"/>
      <c r="S12" s="537"/>
      <c r="T12" s="537"/>
      <c r="U12" s="537"/>
      <c r="V12" s="537"/>
      <c r="W12" s="537"/>
      <c r="Z12" s="537"/>
      <c r="AA12" s="537"/>
      <c r="AB12" s="537"/>
      <c r="AC12" s="537"/>
      <c r="AD12" s="537"/>
      <c r="AE12" s="537"/>
      <c r="AF12" s="537"/>
      <c r="AG12" s="537"/>
    </row>
    <row r="13" spans="1:33" ht="12.75" customHeight="1" x14ac:dyDescent="0.2">
      <c r="A13" s="783" t="str">
        <f>START!$A30</f>
        <v>HÄ / HW / ARCH / EV:</v>
      </c>
      <c r="B13" s="956">
        <f>START!$B30</f>
        <v>0</v>
      </c>
      <c r="E13" s="956" t="b">
        <f>IF('YOSIMA, CLAYFIX etc.'!B18&gt;0,'YOSIMA, CLAYFIX etc.'!B18)</f>
        <v>0</v>
      </c>
      <c r="F13" s="956" t="b">
        <f>IF('YOSIMA, CLAYFIX etc.'!$B18&gt;0,'YOSIMA, CLAYFIX etc.'!C18)</f>
        <v>0</v>
      </c>
      <c r="G13" s="956" t="b">
        <f>IF('YOSIMA, CLAYFIX etc.'!$B18&gt;0,'YOSIMA, CLAYFIX etc.'!D18)</f>
        <v>0</v>
      </c>
      <c r="H13" s="966" t="b">
        <f>IF('YOSIMA, CLAYFIX etc.'!$B18&gt;0,'YOSIMA, CLAYFIX etc.'!E18)</f>
        <v>0</v>
      </c>
      <c r="I13" s="966" t="b">
        <f>IF('YOSIMA, CLAYFIX etc.'!$B18&gt;0,'YOSIMA, CLAYFIX etc.'!F18)</f>
        <v>0</v>
      </c>
      <c r="J13" s="966" t="b">
        <f>IF('YOSIMA, CLAYFIX etc.'!$B18&gt;0,'YOSIMA, CLAYFIX etc.'!G18)</f>
        <v>0</v>
      </c>
      <c r="K13" s="956" t="b">
        <f>IF('YOSIMA, CLAYFIX etc.'!$B18&gt;0,'YOSIMA, CLAYFIX etc.'!H18)</f>
        <v>0</v>
      </c>
      <c r="L13" s="955"/>
      <c r="M13" s="1042" t="b">
        <f>IF('YOSIMA, CLAYFIX etc.'!$B18&gt;0,'YOSIMA, CLAYFIX etc.'!K18)</f>
        <v>0</v>
      </c>
      <c r="N13" s="1045" t="b">
        <f>IF('YOSIMA, CLAYFIX etc.'!$B18&gt;0,'YOSIMA, CLAYFIX etc.'!X18)</f>
        <v>0</v>
      </c>
      <c r="O13" s="966" t="b">
        <f>IF('YOSIMA, CLAYFIX etc.'!$B18&gt;0,'YOSIMA, CLAYFIX etc.'!Y18)</f>
        <v>0</v>
      </c>
      <c r="P13" s="971"/>
      <c r="Q13" s="537"/>
      <c r="R13" s="537"/>
      <c r="S13" s="537"/>
      <c r="T13" s="537"/>
      <c r="U13" s="537"/>
      <c r="V13" s="537"/>
      <c r="W13" s="537"/>
      <c r="Z13" s="537"/>
      <c r="AA13" s="537"/>
      <c r="AB13" s="537"/>
      <c r="AC13" s="537"/>
      <c r="AD13" s="537"/>
      <c r="AE13" s="537"/>
      <c r="AF13" s="537"/>
      <c r="AG13" s="537"/>
    </row>
    <row r="14" spans="1:33" ht="12.75" customHeight="1" x14ac:dyDescent="0.2">
      <c r="A14" s="783"/>
      <c r="B14" s="955"/>
      <c r="E14" s="956" t="b">
        <f>IF('YOSIMA, CLAYFIX etc.'!B19&gt;0,'YOSIMA, CLAYFIX etc.'!B19)</f>
        <v>0</v>
      </c>
      <c r="F14" s="956" t="b">
        <f>IF('YOSIMA, CLAYFIX etc.'!$B19&gt;0,'YOSIMA, CLAYFIX etc.'!C19)</f>
        <v>0</v>
      </c>
      <c r="G14" s="956" t="b">
        <f>IF('YOSIMA, CLAYFIX etc.'!$B19&gt;0,'YOSIMA, CLAYFIX etc.'!D19)</f>
        <v>0</v>
      </c>
      <c r="H14" s="966" t="b">
        <f>IF('YOSIMA, CLAYFIX etc.'!$B19&gt;0,'YOSIMA, CLAYFIX etc.'!E19)</f>
        <v>0</v>
      </c>
      <c r="I14" s="966" t="b">
        <f>IF('YOSIMA, CLAYFIX etc.'!$B19&gt;0,'YOSIMA, CLAYFIX etc.'!F19)</f>
        <v>0</v>
      </c>
      <c r="J14" s="966" t="b">
        <f>IF('YOSIMA, CLAYFIX etc.'!$B19&gt;0,'YOSIMA, CLAYFIX etc.'!G19)</f>
        <v>0</v>
      </c>
      <c r="K14" s="956" t="b">
        <f>IF('YOSIMA, CLAYFIX etc.'!$B19&gt;0,'YOSIMA, CLAYFIX etc.'!H19)</f>
        <v>0</v>
      </c>
      <c r="L14" s="955"/>
      <c r="M14" s="1042" t="b">
        <f>IF('YOSIMA, CLAYFIX etc.'!$B19&gt;0,'YOSIMA, CLAYFIX etc.'!K19)</f>
        <v>0</v>
      </c>
      <c r="N14" s="1045" t="b">
        <f>IF('YOSIMA, CLAYFIX etc.'!$B19&gt;0,'YOSIMA, CLAYFIX etc.'!X19)</f>
        <v>0</v>
      </c>
      <c r="O14" s="966" t="b">
        <f>IF('YOSIMA, CLAYFIX etc.'!$B19&gt;0,'YOSIMA, CLAYFIX etc.'!Y19)</f>
        <v>0</v>
      </c>
      <c r="P14" s="971"/>
      <c r="Q14" s="537"/>
      <c r="R14" s="537"/>
      <c r="S14" s="537"/>
      <c r="T14" s="537"/>
      <c r="U14" s="537"/>
      <c r="V14" s="537"/>
      <c r="W14" s="537"/>
      <c r="Z14" s="537"/>
      <c r="AA14" s="537"/>
      <c r="AB14" s="537"/>
      <c r="AC14" s="537"/>
      <c r="AD14" s="537"/>
      <c r="AE14" s="537"/>
      <c r="AF14" s="537"/>
      <c r="AG14" s="537"/>
    </row>
    <row r="15" spans="1:33" ht="12.75" customHeight="1" x14ac:dyDescent="0.2">
      <c r="A15" s="783" t="str">
        <f>START!$A32</f>
        <v>ggf. Rabattempfehlung:</v>
      </c>
      <c r="B15" s="956">
        <f>START!$B32</f>
        <v>0</v>
      </c>
      <c r="E15" s="956" t="b">
        <f>IF('YOSIMA, CLAYFIX etc.'!B20&gt;0,'YOSIMA, CLAYFIX etc.'!B20)</f>
        <v>0</v>
      </c>
      <c r="F15" s="956" t="b">
        <f>IF('YOSIMA, CLAYFIX etc.'!$B20&gt;0,'YOSIMA, CLAYFIX etc.'!C20)</f>
        <v>0</v>
      </c>
      <c r="G15" s="956" t="b">
        <f>IF('YOSIMA, CLAYFIX etc.'!$B20&gt;0,'YOSIMA, CLAYFIX etc.'!D20)</f>
        <v>0</v>
      </c>
      <c r="H15" s="966" t="b">
        <f>IF('YOSIMA, CLAYFIX etc.'!$B20&gt;0,'YOSIMA, CLAYFIX etc.'!E20)</f>
        <v>0</v>
      </c>
      <c r="I15" s="966" t="b">
        <f>IF('YOSIMA, CLAYFIX etc.'!$B20&gt;0,'YOSIMA, CLAYFIX etc.'!F20)</f>
        <v>0</v>
      </c>
      <c r="J15" s="966" t="b">
        <f>IF('YOSIMA, CLAYFIX etc.'!$B20&gt;0,'YOSIMA, CLAYFIX etc.'!G20)</f>
        <v>0</v>
      </c>
      <c r="K15" s="955"/>
      <c r="L15" s="955"/>
      <c r="M15" s="1042" t="b">
        <f>IF('YOSIMA, CLAYFIX etc.'!$B20&gt;0,'YOSIMA, CLAYFIX etc.'!K20)</f>
        <v>0</v>
      </c>
      <c r="N15" s="1045" t="b">
        <f>IF('YOSIMA, CLAYFIX etc.'!$B20&gt;0,'YOSIMA, CLAYFIX etc.'!X20)</f>
        <v>0</v>
      </c>
      <c r="O15" s="966" t="b">
        <f>IF('YOSIMA, CLAYFIX etc.'!$B20&gt;0,'YOSIMA, CLAYFIX etc.'!Y20)</f>
        <v>0</v>
      </c>
      <c r="P15" s="971"/>
      <c r="Q15" s="537"/>
      <c r="R15" s="537"/>
      <c r="S15" s="537"/>
      <c r="T15" s="537"/>
      <c r="U15" s="537"/>
      <c r="V15" s="537"/>
      <c r="W15" s="537"/>
      <c r="Z15" s="537"/>
      <c r="AA15" s="537"/>
      <c r="AB15" s="537"/>
      <c r="AC15" s="537"/>
      <c r="AD15" s="537"/>
      <c r="AE15" s="537"/>
      <c r="AF15" s="537"/>
      <c r="AG15" s="537"/>
    </row>
    <row r="16" spans="1:33" ht="12.75" customHeight="1" x14ac:dyDescent="0.2">
      <c r="A16" s="783" t="str">
        <f>START!$A33</f>
        <v>TEAM / VERTRIEBSLEITUNG</v>
      </c>
      <c r="B16" s="956">
        <f>START!$B33</f>
        <v>0</v>
      </c>
      <c r="E16" s="956" t="b">
        <f>IF('YOSIMA, CLAYFIX etc.'!B21&gt;0,'YOSIMA, CLAYFIX etc.'!B21)</f>
        <v>0</v>
      </c>
      <c r="F16" s="956" t="b">
        <f>IF('YOSIMA, CLAYFIX etc.'!$B21&gt;0,'YOSIMA, CLAYFIX etc.'!C21)</f>
        <v>0</v>
      </c>
      <c r="G16" s="956" t="b">
        <f>IF('YOSIMA, CLAYFIX etc.'!$B21&gt;0,'YOSIMA, CLAYFIX etc.'!D21)</f>
        <v>0</v>
      </c>
      <c r="H16" s="966" t="b">
        <f>IF('YOSIMA, CLAYFIX etc.'!$B21&gt;0,'YOSIMA, CLAYFIX etc.'!E21)</f>
        <v>0</v>
      </c>
      <c r="I16" s="966" t="b">
        <f>IF('YOSIMA, CLAYFIX etc.'!$B21&gt;0,'YOSIMA, CLAYFIX etc.'!F21)</f>
        <v>0</v>
      </c>
      <c r="J16" s="966" t="b">
        <f>IF('YOSIMA, CLAYFIX etc.'!$B21&gt;0,'YOSIMA, CLAYFIX etc.'!G21)</f>
        <v>0</v>
      </c>
      <c r="K16" s="955"/>
      <c r="L16" s="955"/>
      <c r="M16" s="1042" t="b">
        <f>IF('YOSIMA, CLAYFIX etc.'!$B21&gt;0,'YOSIMA, CLAYFIX etc.'!K21)</f>
        <v>0</v>
      </c>
      <c r="N16" s="1045" t="b">
        <f>IF('YOSIMA, CLAYFIX etc.'!$B21&gt;0,'YOSIMA, CLAYFIX etc.'!X21)</f>
        <v>0</v>
      </c>
      <c r="O16" s="966" t="b">
        <f>IF('YOSIMA, CLAYFIX etc.'!$B21&gt;0,'YOSIMA, CLAYFIX etc.'!Y21)</f>
        <v>0</v>
      </c>
      <c r="P16" s="971"/>
      <c r="Q16" s="537"/>
      <c r="R16" s="537"/>
      <c r="S16" s="537"/>
      <c r="T16" s="537"/>
      <c r="U16" s="537"/>
      <c r="V16" s="537"/>
      <c r="W16" s="537"/>
      <c r="Z16" s="537"/>
      <c r="AA16" s="537"/>
      <c r="AB16" s="537"/>
      <c r="AC16" s="537"/>
      <c r="AD16" s="537"/>
      <c r="AE16" s="537"/>
      <c r="AF16" s="537"/>
      <c r="AG16" s="537"/>
    </row>
    <row r="17" spans="1:35" ht="12.75" customHeight="1" x14ac:dyDescent="0.2">
      <c r="A17" s="783"/>
      <c r="B17" s="955"/>
      <c r="E17" s="956" t="b">
        <f>IF('YOSIMA, CLAYFIX etc.'!B22&gt;0,'YOSIMA, CLAYFIX etc.'!B22)</f>
        <v>0</v>
      </c>
      <c r="F17" s="956" t="b">
        <f>IF('YOSIMA, CLAYFIX etc.'!$B22&gt;0,'YOSIMA, CLAYFIX etc.'!C22)</f>
        <v>0</v>
      </c>
      <c r="G17" s="956" t="b">
        <f>IF('YOSIMA, CLAYFIX etc.'!$B22&gt;0,'YOSIMA, CLAYFIX etc.'!D22)</f>
        <v>0</v>
      </c>
      <c r="H17" s="966" t="b">
        <f>IF('YOSIMA, CLAYFIX etc.'!$B22&gt;0,'YOSIMA, CLAYFIX etc.'!E22)</f>
        <v>0</v>
      </c>
      <c r="I17" s="966" t="b">
        <f>IF('YOSIMA, CLAYFIX etc.'!$B22&gt;0,'YOSIMA, CLAYFIX etc.'!F22)</f>
        <v>0</v>
      </c>
      <c r="J17" s="966" t="b">
        <f>IF('YOSIMA, CLAYFIX etc.'!$B22&gt;0,'YOSIMA, CLAYFIX etc.'!G22)</f>
        <v>0</v>
      </c>
      <c r="K17" s="955"/>
      <c r="L17" s="955"/>
      <c r="M17" s="1042" t="b">
        <f>IF('YOSIMA, CLAYFIX etc.'!$B22&gt;0,'YOSIMA, CLAYFIX etc.'!K22)</f>
        <v>0</v>
      </c>
      <c r="N17" s="1045" t="b">
        <f>IF('YOSIMA, CLAYFIX etc.'!$B22&gt;0,'YOSIMA, CLAYFIX etc.'!X22)</f>
        <v>0</v>
      </c>
      <c r="O17" s="966" t="b">
        <f>IF('YOSIMA, CLAYFIX etc.'!$B22&gt;0,'YOSIMA, CLAYFIX etc.'!Y22)</f>
        <v>0</v>
      </c>
      <c r="P17" s="971"/>
      <c r="Q17" s="537"/>
      <c r="R17" s="537"/>
      <c r="S17" s="537"/>
      <c r="T17" s="537"/>
      <c r="U17" s="537"/>
      <c r="V17" s="537"/>
      <c r="W17" s="537"/>
      <c r="Z17" s="537"/>
      <c r="AA17" s="537"/>
      <c r="AB17" s="537"/>
      <c r="AC17" s="537"/>
      <c r="AD17" s="537"/>
      <c r="AE17" s="537"/>
      <c r="AF17" s="537"/>
      <c r="AG17" s="537"/>
    </row>
    <row r="18" spans="1:35" ht="12.75" customHeight="1" x14ac:dyDescent="0.2">
      <c r="A18" s="783" t="str">
        <f>START!$A35</f>
        <v>ggf. Objekt:</v>
      </c>
      <c r="B18" s="956">
        <f>START!$B35</f>
        <v>0</v>
      </c>
      <c r="E18" s="956" t="b">
        <f>IF('YOSIMA, CLAYFIX etc.'!B23&gt;0,'YOSIMA, CLAYFIX etc.'!B23)</f>
        <v>0</v>
      </c>
      <c r="F18" s="956" t="b">
        <f>IF('YOSIMA, CLAYFIX etc.'!$B23&gt;0,'YOSIMA, CLAYFIX etc.'!C23)</f>
        <v>0</v>
      </c>
      <c r="G18" s="956" t="b">
        <f>IF('YOSIMA, CLAYFIX etc.'!$B23&gt;0,'YOSIMA, CLAYFIX etc.'!D23)</f>
        <v>0</v>
      </c>
      <c r="H18" s="966" t="b">
        <f>IF('YOSIMA, CLAYFIX etc.'!$B23&gt;0,'YOSIMA, CLAYFIX etc.'!E23)</f>
        <v>0</v>
      </c>
      <c r="I18" s="966" t="b">
        <f>IF('YOSIMA, CLAYFIX etc.'!$B23&gt;0,'YOSIMA, CLAYFIX etc.'!F23)</f>
        <v>0</v>
      </c>
      <c r="J18" s="966" t="b">
        <f>IF('YOSIMA, CLAYFIX etc.'!$B23&gt;0,'YOSIMA, CLAYFIX etc.'!G23)</f>
        <v>0</v>
      </c>
      <c r="K18" s="956" t="b">
        <f>IF('YOSIMA, CLAYFIX etc.'!$B23&gt;0,'YOSIMA, CLAYFIX etc.'!H23)</f>
        <v>0</v>
      </c>
      <c r="L18" s="956" t="b">
        <f>IF('YOSIMA, CLAYFIX etc.'!$B23&gt;0,'YOSIMA, CLAYFIX etc.'!I23)</f>
        <v>0</v>
      </c>
      <c r="M18" s="1042" t="b">
        <f>IF('YOSIMA, CLAYFIX etc.'!$B23&gt;0,'YOSIMA, CLAYFIX etc.'!K23)</f>
        <v>0</v>
      </c>
      <c r="N18" s="1045" t="b">
        <f>IF('YOSIMA, CLAYFIX etc.'!$B23&gt;0,'YOSIMA, CLAYFIX etc.'!X23)</f>
        <v>0</v>
      </c>
      <c r="O18" s="966" t="b">
        <f>IF('YOSIMA, CLAYFIX etc.'!$B23&gt;0,'YOSIMA, CLAYFIX etc.'!Y23)</f>
        <v>0</v>
      </c>
      <c r="P18" s="971"/>
      <c r="Q18" s="537"/>
      <c r="R18" s="537"/>
      <c r="S18" s="537"/>
      <c r="T18" s="537"/>
      <c r="U18" s="537"/>
      <c r="V18" s="537"/>
      <c r="W18" s="537"/>
      <c r="Z18" s="537"/>
      <c r="AA18" s="537"/>
      <c r="AB18" s="537"/>
      <c r="AC18" s="537"/>
      <c r="AD18" s="537"/>
      <c r="AE18" s="537"/>
      <c r="AF18" s="537"/>
      <c r="AG18" s="537"/>
    </row>
    <row r="19" spans="1:35" ht="12.75" customHeight="1" x14ac:dyDescent="0.2">
      <c r="A19" s="783" t="str">
        <f>START!$A36</f>
        <v>ERP-Nr.:</v>
      </c>
      <c r="B19" s="956">
        <f>START!$B36</f>
        <v>0</v>
      </c>
      <c r="E19" s="956" t="b">
        <f>IF('YOSIMA, CLAYFIX etc.'!B24&gt;0,'YOSIMA, CLAYFIX etc.'!B24)</f>
        <v>0</v>
      </c>
      <c r="F19" s="956" t="b">
        <f>IF('YOSIMA, CLAYFIX etc.'!$B24&gt;0,'YOSIMA, CLAYFIX etc.'!C24)</f>
        <v>0</v>
      </c>
      <c r="G19" s="956" t="b">
        <f>IF('YOSIMA, CLAYFIX etc.'!$B24&gt;0,'YOSIMA, CLAYFIX etc.'!D24)</f>
        <v>0</v>
      </c>
      <c r="H19" s="966" t="b">
        <f>IF('YOSIMA, CLAYFIX etc.'!$B24&gt;0,'YOSIMA, CLAYFIX etc.'!E24)</f>
        <v>0</v>
      </c>
      <c r="I19" s="966" t="b">
        <f>IF('YOSIMA, CLAYFIX etc.'!$B24&gt;0,'YOSIMA, CLAYFIX etc.'!F24)</f>
        <v>0</v>
      </c>
      <c r="J19" s="966" t="b">
        <f>IF('YOSIMA, CLAYFIX etc.'!$B24&gt;0,'YOSIMA, CLAYFIX etc.'!G24)</f>
        <v>0</v>
      </c>
      <c r="K19" s="956" t="b">
        <f>IF('YOSIMA, CLAYFIX etc.'!$B24&gt;0,'YOSIMA, CLAYFIX etc.'!H24)</f>
        <v>0</v>
      </c>
      <c r="L19" s="956" t="b">
        <f>IF('YOSIMA, CLAYFIX etc.'!$B24&gt;0,'YOSIMA, CLAYFIX etc.'!I24)</f>
        <v>0</v>
      </c>
      <c r="M19" s="1042" t="b">
        <f>IF('YOSIMA, CLAYFIX etc.'!$B24&gt;0,'YOSIMA, CLAYFIX etc.'!K24)</f>
        <v>0</v>
      </c>
      <c r="N19" s="1045" t="b">
        <f>IF('YOSIMA, CLAYFIX etc.'!$B24&gt;0,'YOSIMA, CLAYFIX etc.'!X24)</f>
        <v>0</v>
      </c>
      <c r="O19" s="966" t="b">
        <f>IF('YOSIMA, CLAYFIX etc.'!$B24&gt;0,'YOSIMA, CLAYFIX etc.'!Y24)</f>
        <v>0</v>
      </c>
      <c r="P19" s="971"/>
      <c r="Q19" s="537"/>
      <c r="R19" s="537"/>
      <c r="S19" s="537"/>
      <c r="T19" s="537"/>
      <c r="U19" s="537"/>
      <c r="V19" s="537"/>
      <c r="W19" s="537"/>
      <c r="Z19" s="537"/>
      <c r="AA19" s="537"/>
      <c r="AB19" s="537"/>
      <c r="AC19" s="537"/>
      <c r="AD19" s="537"/>
      <c r="AE19" s="537"/>
      <c r="AF19" s="537"/>
      <c r="AG19" s="537"/>
    </row>
    <row r="20" spans="1:35" ht="12.75" customHeight="1" x14ac:dyDescent="0.2">
      <c r="A20" s="783"/>
      <c r="B20" s="955"/>
      <c r="E20" s="956" t="b">
        <f>IF('YOSIMA, CLAYFIX etc.'!B25&gt;0,'YOSIMA, CLAYFIX etc.'!B25)</f>
        <v>0</v>
      </c>
      <c r="F20" s="956" t="b">
        <f>IF('YOSIMA, CLAYFIX etc.'!$B25&gt;0,'YOSIMA, CLAYFIX etc.'!C25)</f>
        <v>0</v>
      </c>
      <c r="G20" s="956" t="b">
        <f>IF('YOSIMA, CLAYFIX etc.'!$B25&gt;0,'YOSIMA, CLAYFIX etc.'!D25)</f>
        <v>0</v>
      </c>
      <c r="H20" s="966" t="b">
        <f>IF('YOSIMA, CLAYFIX etc.'!$B25&gt;0,'YOSIMA, CLAYFIX etc.'!E25)</f>
        <v>0</v>
      </c>
      <c r="I20" s="966" t="b">
        <f>IF('YOSIMA, CLAYFIX etc.'!$B25&gt;0,'YOSIMA, CLAYFIX etc.'!F25)</f>
        <v>0</v>
      </c>
      <c r="J20" s="966" t="b">
        <f>IF('YOSIMA, CLAYFIX etc.'!$B25&gt;0,'YOSIMA, CLAYFIX etc.'!G25)</f>
        <v>0</v>
      </c>
      <c r="K20" s="955"/>
      <c r="L20" s="955"/>
      <c r="M20" s="1042" t="b">
        <f>IF('YOSIMA, CLAYFIX etc.'!$B25&gt;0,'YOSIMA, CLAYFIX etc.'!K25)</f>
        <v>0</v>
      </c>
      <c r="N20" s="1045" t="b">
        <f>IF('YOSIMA, CLAYFIX etc.'!$B25&gt;0,'YOSIMA, CLAYFIX etc.'!X25)</f>
        <v>0</v>
      </c>
      <c r="O20" s="966" t="b">
        <f>IF('YOSIMA, CLAYFIX etc.'!$B25&gt;0,'YOSIMA, CLAYFIX etc.'!Y25)</f>
        <v>0</v>
      </c>
      <c r="P20" s="971"/>
      <c r="Q20" s="537"/>
      <c r="R20" s="537"/>
      <c r="S20" s="537"/>
      <c r="T20" s="537"/>
      <c r="U20" s="537"/>
      <c r="V20" s="537"/>
      <c r="W20" s="537"/>
      <c r="Z20" s="537"/>
      <c r="AA20" s="537"/>
      <c r="AB20" s="537"/>
      <c r="AC20" s="537"/>
      <c r="AD20" s="537"/>
      <c r="AE20" s="537"/>
      <c r="AF20" s="537"/>
      <c r="AG20" s="537"/>
    </row>
    <row r="21" spans="1:35" ht="12.75" customHeight="1" x14ac:dyDescent="0.2">
      <c r="A21" s="783" t="str">
        <f>START!$A38</f>
        <v>Händler:</v>
      </c>
      <c r="B21" s="956">
        <f>START!$B38</f>
        <v>0</v>
      </c>
      <c r="E21" s="956" t="b">
        <f>IF('YOSIMA, CLAYFIX etc.'!B26&gt;0,'YOSIMA, CLAYFIX etc.'!B26)</f>
        <v>0</v>
      </c>
      <c r="F21" s="956" t="b">
        <f>IF('YOSIMA, CLAYFIX etc.'!$B26&gt;0,'YOSIMA, CLAYFIX etc.'!C26)</f>
        <v>0</v>
      </c>
      <c r="G21" s="956" t="b">
        <f>IF('YOSIMA, CLAYFIX etc.'!$B26&gt;0,'YOSIMA, CLAYFIX etc.'!D26)</f>
        <v>0</v>
      </c>
      <c r="H21" s="966" t="b">
        <f>IF('YOSIMA, CLAYFIX etc.'!$B26&gt;0,'YOSIMA, CLAYFIX etc.'!E26)</f>
        <v>0</v>
      </c>
      <c r="I21" s="966" t="b">
        <f>IF('YOSIMA, CLAYFIX etc.'!$B26&gt;0,'YOSIMA, CLAYFIX etc.'!F26)</f>
        <v>0</v>
      </c>
      <c r="J21" s="966" t="b">
        <f>IF('YOSIMA, CLAYFIX etc.'!$B26&gt;0,'YOSIMA, CLAYFIX etc.'!G26)</f>
        <v>0</v>
      </c>
      <c r="K21" s="955"/>
      <c r="L21" s="955"/>
      <c r="M21" s="1042" t="b">
        <f>IF('YOSIMA, CLAYFIX etc.'!$B26&gt;0,'YOSIMA, CLAYFIX etc.'!K26)</f>
        <v>0</v>
      </c>
      <c r="N21" s="1045" t="b">
        <f>IF('YOSIMA, CLAYFIX etc.'!$B26&gt;0,'YOSIMA, CLAYFIX etc.'!X26)</f>
        <v>0</v>
      </c>
      <c r="O21" s="966" t="b">
        <f>IF('YOSIMA, CLAYFIX etc.'!$B26&gt;0,'YOSIMA, CLAYFIX etc.'!Y26)</f>
        <v>0</v>
      </c>
      <c r="P21" s="971"/>
      <c r="Q21" s="537"/>
      <c r="R21" s="537"/>
      <c r="S21" s="537"/>
      <c r="T21" s="537"/>
      <c r="U21" s="537"/>
      <c r="V21" s="537"/>
      <c r="W21" s="537"/>
      <c r="Z21" s="537"/>
      <c r="AA21" s="537"/>
      <c r="AB21" s="537"/>
      <c r="AC21" s="537"/>
      <c r="AD21" s="537"/>
      <c r="AE21" s="537"/>
      <c r="AF21" s="537"/>
      <c r="AG21" s="537"/>
    </row>
    <row r="22" spans="1:35" ht="12.75" customHeight="1" x14ac:dyDescent="0.2">
      <c r="A22" s="783" t="str">
        <f>START!$A39</f>
        <v>ERP-Nr.:</v>
      </c>
      <c r="B22" s="956">
        <f>START!$B39</f>
        <v>0</v>
      </c>
      <c r="E22" s="956" t="b">
        <f>IF('YOSIMA, CLAYFIX etc.'!B27&gt;0,'YOSIMA, CLAYFIX etc.'!B27)</f>
        <v>0</v>
      </c>
      <c r="F22" s="956" t="b">
        <f>IF('YOSIMA, CLAYFIX etc.'!$B27&gt;0,'YOSIMA, CLAYFIX etc.'!C27)</f>
        <v>0</v>
      </c>
      <c r="G22" s="956" t="b">
        <f>IF('YOSIMA, CLAYFIX etc.'!$B27&gt;0,'YOSIMA, CLAYFIX etc.'!D27)</f>
        <v>0</v>
      </c>
      <c r="H22" s="966" t="b">
        <f>IF('YOSIMA, CLAYFIX etc.'!$B27&gt;0,'YOSIMA, CLAYFIX etc.'!E27)</f>
        <v>0</v>
      </c>
      <c r="I22" s="966" t="b">
        <f>IF('YOSIMA, CLAYFIX etc.'!$B27&gt;0,'YOSIMA, CLAYFIX etc.'!F27)</f>
        <v>0</v>
      </c>
      <c r="J22" s="966" t="b">
        <f>IF('YOSIMA, CLAYFIX etc.'!$B27&gt;0,'YOSIMA, CLAYFIX etc.'!G27)</f>
        <v>0</v>
      </c>
      <c r="K22" s="955"/>
      <c r="L22" s="955"/>
      <c r="M22" s="1042" t="b">
        <f>IF('YOSIMA, CLAYFIX etc.'!$B27&gt;0,'YOSIMA, CLAYFIX etc.'!K27)</f>
        <v>0</v>
      </c>
      <c r="N22" s="1045" t="b">
        <f>IF('YOSIMA, CLAYFIX etc.'!$B27&gt;0,'YOSIMA, CLAYFIX etc.'!X27)</f>
        <v>0</v>
      </c>
      <c r="O22" s="966" t="b">
        <f>IF('YOSIMA, CLAYFIX etc.'!$B27&gt;0,'YOSIMA, CLAYFIX etc.'!Y27)</f>
        <v>0</v>
      </c>
      <c r="P22" s="971"/>
      <c r="Q22" s="537"/>
      <c r="R22" s="537"/>
      <c r="S22" s="537"/>
      <c r="T22" s="537"/>
      <c r="U22" s="537"/>
      <c r="V22" s="537"/>
      <c r="W22" s="537"/>
      <c r="Z22" s="537"/>
      <c r="AA22" s="537"/>
      <c r="AB22" s="537"/>
      <c r="AC22" s="537"/>
      <c r="AD22" s="537"/>
      <c r="AE22" s="537"/>
      <c r="AF22" s="537"/>
      <c r="AG22" s="537"/>
    </row>
    <row r="23" spans="1:35" ht="12.75" customHeight="1" x14ac:dyDescent="0.2">
      <c r="A23" s="783" t="str">
        <f>START!$A40</f>
        <v>Kommission</v>
      </c>
      <c r="B23" s="956">
        <f>START!$B40</f>
        <v>0</v>
      </c>
      <c r="E23" s="956" t="b">
        <f>IF('YOSIMA, CLAYFIX etc.'!B28&gt;0,'YOSIMA, CLAYFIX etc.'!B28)</f>
        <v>0</v>
      </c>
      <c r="F23" s="956" t="b">
        <f>IF('YOSIMA, CLAYFIX etc.'!$B28&gt;0,'YOSIMA, CLAYFIX etc.'!C28)</f>
        <v>0</v>
      </c>
      <c r="G23" s="956" t="b">
        <f>IF('YOSIMA, CLAYFIX etc.'!$B28&gt;0,'YOSIMA, CLAYFIX etc.'!D28)</f>
        <v>0</v>
      </c>
      <c r="H23" s="966" t="b">
        <f>IF('YOSIMA, CLAYFIX etc.'!$B28&gt;0,'YOSIMA, CLAYFIX etc.'!E28)</f>
        <v>0</v>
      </c>
      <c r="I23" s="966" t="b">
        <f>IF('YOSIMA, CLAYFIX etc.'!$B28&gt;0,'YOSIMA, CLAYFIX etc.'!F28)</f>
        <v>0</v>
      </c>
      <c r="J23" s="966" t="b">
        <f>IF('YOSIMA, CLAYFIX etc.'!$B28&gt;0,'YOSIMA, CLAYFIX etc.'!G28)</f>
        <v>0</v>
      </c>
      <c r="K23" s="955"/>
      <c r="L23" s="955"/>
      <c r="M23" s="1042" t="b">
        <f>IF('YOSIMA, CLAYFIX etc.'!$B28&gt;0,'YOSIMA, CLAYFIX etc.'!K28)</f>
        <v>0</v>
      </c>
      <c r="N23" s="1045" t="b">
        <f>IF('YOSIMA, CLAYFIX etc.'!$B28&gt;0,'YOSIMA, CLAYFIX etc.'!X28)</f>
        <v>0</v>
      </c>
      <c r="O23" s="966" t="b">
        <f>IF('YOSIMA, CLAYFIX etc.'!$B28&gt;0,'YOSIMA, CLAYFIX etc.'!Y28)</f>
        <v>0</v>
      </c>
      <c r="P23" s="971"/>
      <c r="Q23" s="537"/>
      <c r="R23" s="537"/>
      <c r="S23" s="537"/>
      <c r="T23" s="537"/>
      <c r="U23" s="537"/>
      <c r="V23" s="537"/>
      <c r="W23" s="537"/>
      <c r="Z23" s="537"/>
      <c r="AA23" s="537"/>
      <c r="AB23" s="537"/>
      <c r="AC23" s="537"/>
      <c r="AD23" s="537"/>
      <c r="AE23" s="537"/>
      <c r="AF23" s="537"/>
      <c r="AG23" s="537"/>
    </row>
    <row r="24" spans="1:35" ht="12.75" customHeight="1" x14ac:dyDescent="0.2">
      <c r="A24" s="783" t="str">
        <f>START!$A41</f>
        <v>BV:</v>
      </c>
      <c r="B24" s="956">
        <f>START!$B41</f>
        <v>0</v>
      </c>
      <c r="E24" s="1037" t="b">
        <f>IF('YOSIMA, CLAYFIX etc.'!B29&gt;0,'YOSIMA, CLAYFIX etc.'!B29)</f>
        <v>0</v>
      </c>
      <c r="F24" s="956" t="b">
        <f>IF('YOSIMA, CLAYFIX etc.'!$B29&gt;0,'YOSIMA, CLAYFIX etc.'!C29)</f>
        <v>0</v>
      </c>
      <c r="G24" s="956" t="b">
        <f>IF('YOSIMA, CLAYFIX etc.'!$B29&gt;0,'YOSIMA, CLAYFIX etc.'!D29)</f>
        <v>0</v>
      </c>
      <c r="H24" s="966" t="b">
        <f>IF('YOSIMA, CLAYFIX etc.'!$B29&gt;0,'YOSIMA, CLAYFIX etc.'!E29)</f>
        <v>0</v>
      </c>
      <c r="I24" s="966" t="b">
        <f>IF('YOSIMA, CLAYFIX etc.'!$B29&gt;0,'YOSIMA, CLAYFIX etc.'!F29)</f>
        <v>0</v>
      </c>
      <c r="J24" s="966" t="b">
        <f>IF('YOSIMA, CLAYFIX etc.'!$B29&gt;0,'YOSIMA, CLAYFIX etc.'!G29)</f>
        <v>0</v>
      </c>
      <c r="K24" s="955"/>
      <c r="L24" s="955"/>
      <c r="M24" s="1042" t="b">
        <f>IF('YOSIMA, CLAYFIX etc.'!$B29&gt;0,'YOSIMA, CLAYFIX etc.'!K29)</f>
        <v>0</v>
      </c>
      <c r="N24" s="1045" t="b">
        <f>IF('YOSIMA, CLAYFIX etc.'!$B29&gt;0,'YOSIMA, CLAYFIX etc.'!X29)</f>
        <v>0</v>
      </c>
      <c r="O24" s="966" t="b">
        <f>IF('YOSIMA, CLAYFIX etc.'!$B29&gt;0,'YOSIMA, CLAYFIX etc.'!Y29)</f>
        <v>0</v>
      </c>
      <c r="P24" s="971"/>
      <c r="Q24" s="537"/>
      <c r="R24" s="537"/>
      <c r="S24" s="537"/>
      <c r="T24" s="537"/>
      <c r="U24" s="537"/>
      <c r="V24" s="537"/>
      <c r="W24" s="537"/>
      <c r="Z24" s="537"/>
      <c r="AA24" s="537"/>
      <c r="AB24" s="537"/>
      <c r="AC24" s="537"/>
      <c r="AD24" s="537"/>
      <c r="AE24" s="537"/>
      <c r="AF24" s="537"/>
      <c r="AG24" s="537"/>
    </row>
    <row r="25" spans="1:35" ht="12.75" customHeight="1" x14ac:dyDescent="0.2">
      <c r="A25" s="783"/>
      <c r="B25" s="955"/>
      <c r="E25" s="956" t="b">
        <f>IF(Lehmputz!$B8&gt;0,Lehmputz!B8)</f>
        <v>0</v>
      </c>
      <c r="F25" s="956" t="b">
        <f>IF(Lehmputz!$B8&gt;0,Lehmputz!C8)</f>
        <v>0</v>
      </c>
      <c r="G25" s="956" t="b">
        <f>IF(Lehmputz!$B8&gt;0,Lehmputz!D8)</f>
        <v>0</v>
      </c>
      <c r="H25" s="966" t="b">
        <f>IF(Lehmputz!$B8&gt;0,Lehmputz!E8)</f>
        <v>0</v>
      </c>
      <c r="I25" s="966" t="b">
        <f>IF(Lehmputz!$B8&gt;0,Lehmputz!F8)</f>
        <v>0</v>
      </c>
      <c r="J25" s="966" t="b">
        <f>IF(Lehmputz!$B8&gt;0,Lehmputz!G8)</f>
        <v>0</v>
      </c>
      <c r="K25" s="955"/>
      <c r="L25" s="955"/>
      <c r="M25" s="1042" t="b">
        <f>IF(Lehmputz!$B8&gt;0,Lehmputz!J8)</f>
        <v>0</v>
      </c>
      <c r="N25" s="1045" t="b">
        <f>IF(Lehmputz!$B8&gt;0,Lehmputz!W8)</f>
        <v>0</v>
      </c>
      <c r="O25" s="966" t="b">
        <f>IF(Lehmputz!$B8&gt;0,Lehmputz!X8)</f>
        <v>0</v>
      </c>
      <c r="P25" s="971"/>
      <c r="Q25" s="537"/>
      <c r="R25" s="537"/>
      <c r="S25" s="537"/>
      <c r="T25" s="537"/>
      <c r="U25" s="537"/>
      <c r="V25" s="537"/>
      <c r="W25" s="537"/>
      <c r="Z25" s="537"/>
      <c r="AA25" s="537"/>
      <c r="AB25" s="537"/>
      <c r="AC25" s="537"/>
      <c r="AD25" s="537"/>
      <c r="AE25" s="537"/>
      <c r="AF25" s="537"/>
      <c r="AG25" s="537"/>
    </row>
    <row r="26" spans="1:35" ht="12.75" customHeight="1" x14ac:dyDescent="0.2">
      <c r="A26" s="783" t="str">
        <f>START!$A43</f>
        <v>ggf. Handwerker:</v>
      </c>
      <c r="B26" s="956">
        <f>START!$B43</f>
        <v>0</v>
      </c>
      <c r="E26" s="956" t="b">
        <f>IF(Lehmputz!$B9&gt;0,Lehmputz!B9)</f>
        <v>0</v>
      </c>
      <c r="F26" s="956" t="b">
        <f>IF(Lehmputz!$B9&gt;0,Lehmputz!C9)</f>
        <v>0</v>
      </c>
      <c r="G26" s="956" t="b">
        <f>IF(Lehmputz!$B9&gt;0,Lehmputz!D9)</f>
        <v>0</v>
      </c>
      <c r="H26" s="966" t="b">
        <f>IF(Lehmputz!$B9&gt;0,Lehmputz!E9)</f>
        <v>0</v>
      </c>
      <c r="I26" s="966" t="b">
        <f>IF(Lehmputz!$B9&gt;0,Lehmputz!F9)</f>
        <v>0</v>
      </c>
      <c r="J26" s="966" t="b">
        <f>IF(Lehmputz!$B9&gt;0,Lehmputz!G9)</f>
        <v>0</v>
      </c>
      <c r="K26" s="955"/>
      <c r="L26" s="955"/>
      <c r="M26" s="1042" t="b">
        <f>IF(Lehmputz!$B9&gt;0,Lehmputz!J9)</f>
        <v>0</v>
      </c>
      <c r="N26" s="1045" t="b">
        <f>IF(Lehmputz!$B9&gt;0,Lehmputz!W9)</f>
        <v>0</v>
      </c>
      <c r="O26" s="966" t="b">
        <f>IF(Lehmputz!$B9&gt;0,Lehmputz!X9)</f>
        <v>0</v>
      </c>
      <c r="P26" s="971"/>
      <c r="Q26" s="537"/>
      <c r="R26" s="537"/>
      <c r="S26" s="537"/>
      <c r="T26" s="537"/>
      <c r="U26" s="537"/>
      <c r="V26" s="537"/>
      <c r="W26" s="537"/>
      <c r="Z26" s="537"/>
      <c r="AA26" s="537"/>
      <c r="AB26" s="537"/>
      <c r="AC26" s="537"/>
      <c r="AD26" s="537"/>
      <c r="AE26" s="537"/>
      <c r="AF26" s="537"/>
      <c r="AG26" s="537"/>
    </row>
    <row r="27" spans="1:35" ht="12.75" customHeight="1" x14ac:dyDescent="0.2">
      <c r="A27" s="783" t="str">
        <f>START!$A44</f>
        <v>ERP-Nr.:</v>
      </c>
      <c r="B27" s="956">
        <f>START!$B44</f>
        <v>0</v>
      </c>
      <c r="E27" s="956" t="b">
        <f>IF(Lehmputz!$B10&gt;0,Lehmputz!B10)</f>
        <v>0</v>
      </c>
      <c r="F27" s="956" t="b">
        <f>IF(Lehmputz!$B10&gt;0,Lehmputz!C10)</f>
        <v>0</v>
      </c>
      <c r="G27" s="956" t="b">
        <f>IF(Lehmputz!$B10&gt;0,Lehmputz!D10)</f>
        <v>0</v>
      </c>
      <c r="H27" s="966" t="b">
        <f>IF(Lehmputz!$B10&gt;0,Lehmputz!E10)</f>
        <v>0</v>
      </c>
      <c r="I27" s="966" t="b">
        <f>IF(Lehmputz!$B10&gt;0,Lehmputz!F10)</f>
        <v>0</v>
      </c>
      <c r="J27" s="966" t="b">
        <f>IF(Lehmputz!$B10&gt;0,Lehmputz!G10)</f>
        <v>0</v>
      </c>
      <c r="K27" s="955"/>
      <c r="L27" s="955"/>
      <c r="M27" s="1042" t="b">
        <f>IF(Lehmputz!$B10&gt;0,Lehmputz!J10)</f>
        <v>0</v>
      </c>
      <c r="N27" s="1045" t="b">
        <f>IF(Lehmputz!$B10&gt;0,Lehmputz!W10)</f>
        <v>0</v>
      </c>
      <c r="O27" s="966" t="b">
        <f>IF(Lehmputz!$B10&gt;0,Lehmputz!X10)</f>
        <v>0</v>
      </c>
      <c r="P27" s="971"/>
      <c r="Q27" s="537"/>
      <c r="R27" s="537"/>
      <c r="S27" s="537"/>
      <c r="T27" s="537"/>
      <c r="U27" s="537"/>
      <c r="V27" s="537"/>
      <c r="W27" s="537"/>
      <c r="Z27" s="537"/>
      <c r="AA27" s="537"/>
      <c r="AB27" s="537"/>
      <c r="AC27" s="537"/>
      <c r="AD27" s="537"/>
      <c r="AE27" s="537"/>
      <c r="AF27" s="537"/>
      <c r="AG27" s="537"/>
    </row>
    <row r="28" spans="1:35" ht="12.75" customHeight="1" x14ac:dyDescent="0.2">
      <c r="A28" s="783" t="str">
        <f>START!$A45</f>
        <v>ggf. Architekt:</v>
      </c>
      <c r="B28" s="956">
        <f>START!$B45</f>
        <v>0</v>
      </c>
      <c r="E28" s="956" t="b">
        <f>IF(Lehmputz!$B11&gt;0,Lehmputz!B11)</f>
        <v>0</v>
      </c>
      <c r="F28" s="956" t="b">
        <f>IF(Lehmputz!$B11&gt;0,Lehmputz!C11)</f>
        <v>0</v>
      </c>
      <c r="G28" s="956" t="b">
        <f>IF(Lehmputz!$B11&gt;0,Lehmputz!D11)</f>
        <v>0</v>
      </c>
      <c r="H28" s="966" t="b">
        <f>IF(Lehmputz!$B11&gt;0,Lehmputz!E11)</f>
        <v>0</v>
      </c>
      <c r="I28" s="966" t="b">
        <f>IF(Lehmputz!$B11&gt;0,Lehmputz!F11)</f>
        <v>0</v>
      </c>
      <c r="J28" s="966" t="b">
        <f>IF(Lehmputz!$B11&gt;0,Lehmputz!G11)</f>
        <v>0</v>
      </c>
      <c r="K28" s="955"/>
      <c r="L28" s="955"/>
      <c r="M28" s="1042" t="b">
        <f>IF(Lehmputz!$B11&gt;0,Lehmputz!J11)</f>
        <v>0</v>
      </c>
      <c r="N28" s="1045" t="b">
        <f>IF(Lehmputz!$B11&gt;0,Lehmputz!W11)</f>
        <v>0</v>
      </c>
      <c r="O28" s="966" t="b">
        <f>IF(Lehmputz!$B11&gt;0,Lehmputz!X11)</f>
        <v>0</v>
      </c>
      <c r="P28" s="971"/>
      <c r="Q28" s="537"/>
      <c r="R28" s="537"/>
      <c r="S28" s="537"/>
      <c r="T28" s="537"/>
      <c r="U28" s="537"/>
      <c r="V28" s="537"/>
      <c r="W28" s="537"/>
      <c r="Z28" s="537"/>
      <c r="AA28" s="537"/>
      <c r="AB28" s="537"/>
      <c r="AC28" s="537"/>
      <c r="AD28" s="537"/>
      <c r="AE28" s="537"/>
      <c r="AF28" s="537"/>
      <c r="AG28" s="537"/>
    </row>
    <row r="29" spans="1:35" ht="12.75" customHeight="1" x14ac:dyDescent="0.2">
      <c r="A29" s="783" t="str">
        <f>START!$A46</f>
        <v>ERP-Nr.:</v>
      </c>
      <c r="B29" s="956">
        <f>START!$B46</f>
        <v>0</v>
      </c>
      <c r="E29" s="956" t="b">
        <f>IF(Lehmputz!$B12&gt;0,Lehmputz!B12)</f>
        <v>0</v>
      </c>
      <c r="F29" s="956" t="b">
        <f>IF(Lehmputz!$B12&gt;0,Lehmputz!C12)</f>
        <v>0</v>
      </c>
      <c r="G29" s="956" t="b">
        <f>IF(Lehmputz!$B12&gt;0,Lehmputz!D12)</f>
        <v>0</v>
      </c>
      <c r="H29" s="966" t="b">
        <f>IF(Lehmputz!$B12&gt;0,Lehmputz!E12)</f>
        <v>0</v>
      </c>
      <c r="I29" s="966" t="b">
        <f>IF(Lehmputz!$B12&gt;0,Lehmputz!F12)</f>
        <v>0</v>
      </c>
      <c r="J29" s="966" t="b">
        <f>IF(Lehmputz!$B12&gt;0,Lehmputz!G12)</f>
        <v>0</v>
      </c>
      <c r="K29" s="955"/>
      <c r="L29" s="955"/>
      <c r="M29" s="1042" t="b">
        <f>IF(Lehmputz!$B12&gt;0,Lehmputz!J12)</f>
        <v>0</v>
      </c>
      <c r="N29" s="1045" t="b">
        <f>IF(Lehmputz!$B12&gt;0,Lehmputz!W12)</f>
        <v>0</v>
      </c>
      <c r="O29" s="966" t="b">
        <f>IF(Lehmputz!$B12&gt;0,Lehmputz!X12)</f>
        <v>0</v>
      </c>
      <c r="P29" s="971"/>
      <c r="Q29" s="537"/>
      <c r="R29" s="537"/>
      <c r="S29" s="537"/>
      <c r="T29" s="537"/>
      <c r="U29" s="537"/>
      <c r="V29" s="537"/>
      <c r="W29" s="537"/>
      <c r="X29" s="537"/>
      <c r="Y29" s="537"/>
      <c r="AB29" s="537"/>
      <c r="AC29" s="537"/>
      <c r="AD29" s="537"/>
      <c r="AE29" s="537"/>
      <c r="AF29" s="537"/>
      <c r="AG29" s="537"/>
      <c r="AH29" s="537"/>
      <c r="AI29" s="537"/>
    </row>
    <row r="30" spans="1:35" ht="12.75" customHeight="1" x14ac:dyDescent="0.2">
      <c r="A30" s="783" t="str">
        <f>START!$A47</f>
        <v>ggf. Endverbr:</v>
      </c>
      <c r="B30" s="956">
        <f>START!$B47</f>
        <v>0</v>
      </c>
      <c r="E30" s="956" t="b">
        <f>IF(Lehmputz!$B13&gt;0,Lehmputz!B13)</f>
        <v>0</v>
      </c>
      <c r="F30" s="956" t="b">
        <f>IF(Lehmputz!$B13&gt;0,Lehmputz!C13)</f>
        <v>0</v>
      </c>
      <c r="G30" s="956" t="b">
        <f>IF(Lehmputz!$B13&gt;0,Lehmputz!D13)</f>
        <v>0</v>
      </c>
      <c r="H30" s="966" t="b">
        <f>IF(Lehmputz!$B13&gt;0,Lehmputz!E13)</f>
        <v>0</v>
      </c>
      <c r="I30" s="966" t="b">
        <f>IF(Lehmputz!$B13&gt;0,Lehmputz!F13)</f>
        <v>0</v>
      </c>
      <c r="J30" s="966" t="b">
        <f>IF(Lehmputz!$B13&gt;0,Lehmputz!G13)</f>
        <v>0</v>
      </c>
      <c r="K30" s="955"/>
      <c r="L30" s="955"/>
      <c r="M30" s="1042" t="b">
        <f>IF(Lehmputz!$B13&gt;0,Lehmputz!J13)</f>
        <v>0</v>
      </c>
      <c r="N30" s="1045" t="b">
        <f>IF(Lehmputz!$B13&gt;0,Lehmputz!W13)</f>
        <v>0</v>
      </c>
      <c r="O30" s="966" t="b">
        <f>IF(Lehmputz!$B13&gt;0,Lehmputz!X13)</f>
        <v>0</v>
      </c>
      <c r="P30" s="971"/>
      <c r="Q30" s="537"/>
      <c r="R30" s="537"/>
      <c r="S30" s="537"/>
      <c r="T30" s="537"/>
      <c r="U30" s="537"/>
      <c r="V30" s="537"/>
      <c r="W30" s="537"/>
      <c r="X30" s="537"/>
      <c r="Y30" s="537"/>
      <c r="AB30" s="537"/>
      <c r="AC30" s="537"/>
      <c r="AD30" s="537"/>
      <c r="AE30" s="537"/>
      <c r="AF30" s="537"/>
      <c r="AG30" s="537"/>
      <c r="AH30" s="537"/>
      <c r="AI30" s="537"/>
    </row>
    <row r="31" spans="1:35" ht="12.75" customHeight="1" x14ac:dyDescent="0.2">
      <c r="E31" s="956" t="b">
        <f>IF(Lehmputz!$B14&gt;0,Lehmputz!B14)</f>
        <v>0</v>
      </c>
      <c r="F31" s="956" t="b">
        <f>IF(Lehmputz!$B14&gt;0,Lehmputz!C14)</f>
        <v>0</v>
      </c>
      <c r="G31" s="956" t="b">
        <f>IF(Lehmputz!$B14&gt;0,Lehmputz!D14)</f>
        <v>0</v>
      </c>
      <c r="H31" s="966" t="b">
        <f>IF(Lehmputz!$B14&gt;0,Lehmputz!E14)</f>
        <v>0</v>
      </c>
      <c r="I31" s="966" t="b">
        <f>IF(Lehmputz!$B14&gt;0,Lehmputz!F14)</f>
        <v>0</v>
      </c>
      <c r="J31" s="966" t="b">
        <f>IF(Lehmputz!$B14&gt;0,Lehmputz!G14)</f>
        <v>0</v>
      </c>
      <c r="K31" s="955"/>
      <c r="L31" s="955"/>
      <c r="M31" s="1042" t="b">
        <f>IF(Lehmputz!$B14&gt;0,Lehmputz!J14)</f>
        <v>0</v>
      </c>
      <c r="N31" s="1045" t="b">
        <f>IF(Lehmputz!$B14&gt;0,Lehmputz!W14)</f>
        <v>0</v>
      </c>
      <c r="O31" s="966" t="b">
        <f>IF(Lehmputz!$B14&gt;0,Lehmputz!X14)</f>
        <v>0</v>
      </c>
      <c r="P31" s="971"/>
      <c r="Q31" s="537"/>
      <c r="R31" s="537"/>
      <c r="S31" s="537"/>
      <c r="T31" s="537"/>
      <c r="U31" s="537"/>
      <c r="V31" s="537"/>
      <c r="W31" s="537"/>
      <c r="X31" s="537"/>
      <c r="Y31" s="537"/>
      <c r="AB31" s="537"/>
      <c r="AC31" s="537"/>
      <c r="AD31" s="537"/>
      <c r="AE31" s="537"/>
      <c r="AF31" s="537"/>
      <c r="AG31" s="537"/>
      <c r="AH31" s="537"/>
      <c r="AI31" s="537"/>
    </row>
    <row r="32" spans="1:35" ht="12.75" customHeight="1" x14ac:dyDescent="0.2">
      <c r="E32" s="956" t="b">
        <f>IF(Lehmputz!$B15&gt;0,Lehmputz!B15)</f>
        <v>0</v>
      </c>
      <c r="F32" s="956" t="b">
        <f>IF(Lehmputz!$B15&gt;0,Lehmputz!C15)</f>
        <v>0</v>
      </c>
      <c r="G32" s="956" t="b">
        <f>IF(Lehmputz!$B15&gt;0,Lehmputz!D15)</f>
        <v>0</v>
      </c>
      <c r="H32" s="966" t="b">
        <f>IF(Lehmputz!$B15&gt;0,Lehmputz!E15)</f>
        <v>0</v>
      </c>
      <c r="I32" s="966" t="b">
        <f>IF(Lehmputz!$B15&gt;0,Lehmputz!F15)</f>
        <v>0</v>
      </c>
      <c r="J32" s="966" t="b">
        <f>IF(Lehmputz!$B15&gt;0,Lehmputz!G15)</f>
        <v>0</v>
      </c>
      <c r="K32" s="955"/>
      <c r="L32" s="955"/>
      <c r="M32" s="1042" t="b">
        <f>IF(Lehmputz!$B15&gt;0,Lehmputz!J15)</f>
        <v>0</v>
      </c>
      <c r="N32" s="1045" t="b">
        <f>IF(Lehmputz!$B15&gt;0,Lehmputz!W15)</f>
        <v>0</v>
      </c>
      <c r="O32" s="966" t="b">
        <f>IF(Lehmputz!$B15&gt;0,Lehmputz!X15)</f>
        <v>0</v>
      </c>
      <c r="P32" s="971"/>
      <c r="Q32" s="537"/>
      <c r="R32" s="537"/>
      <c r="S32" s="537"/>
      <c r="T32" s="537"/>
      <c r="U32" s="537"/>
      <c r="V32" s="537"/>
      <c r="W32" s="537"/>
      <c r="X32" s="537"/>
      <c r="Y32" s="537"/>
      <c r="AB32" s="537"/>
      <c r="AC32" s="537"/>
      <c r="AD32" s="537"/>
      <c r="AE32" s="537"/>
      <c r="AF32" s="537"/>
      <c r="AG32" s="537"/>
      <c r="AH32" s="537"/>
      <c r="AI32" s="537"/>
    </row>
    <row r="33" spans="5:35" ht="12.75" customHeight="1" x14ac:dyDescent="0.2">
      <c r="E33" s="956" t="b">
        <f>IF(Lehmputz!$B16&gt;0,Lehmputz!B16)</f>
        <v>0</v>
      </c>
      <c r="F33" s="956" t="b">
        <f>IF(Lehmputz!$B16&gt;0,Lehmputz!C16)</f>
        <v>0</v>
      </c>
      <c r="G33" s="956" t="b">
        <f>IF(Lehmputz!$B16&gt;0,Lehmputz!D16)</f>
        <v>0</v>
      </c>
      <c r="H33" s="966" t="b">
        <f>IF(Lehmputz!$B16&gt;0,Lehmputz!E16)</f>
        <v>0</v>
      </c>
      <c r="I33" s="966" t="b">
        <f>IF(Lehmputz!$B16&gt;0,Lehmputz!F16)</f>
        <v>0</v>
      </c>
      <c r="J33" s="966" t="b">
        <f>IF(Lehmputz!$B16&gt;0,Lehmputz!G16)</f>
        <v>0</v>
      </c>
      <c r="K33" s="955"/>
      <c r="L33" s="955"/>
      <c r="M33" s="1042" t="b">
        <f>IF(Lehmputz!$B16&gt;0,Lehmputz!J16)</f>
        <v>0</v>
      </c>
      <c r="N33" s="1045" t="b">
        <f>IF(Lehmputz!$B16&gt;0,Lehmputz!W16)</f>
        <v>0</v>
      </c>
      <c r="O33" s="966" t="b">
        <f>IF(Lehmputz!$B16&gt;0,Lehmputz!X16)</f>
        <v>0</v>
      </c>
      <c r="P33" s="971"/>
      <c r="Q33" s="537"/>
      <c r="R33" s="537"/>
      <c r="S33" s="537"/>
      <c r="T33" s="537"/>
      <c r="U33" s="537"/>
      <c r="V33" s="537"/>
      <c r="W33" s="537"/>
      <c r="X33" s="537"/>
      <c r="Y33" s="537"/>
      <c r="AB33" s="537"/>
      <c r="AC33" s="537"/>
      <c r="AD33" s="537"/>
      <c r="AE33" s="537"/>
      <c r="AF33" s="537"/>
      <c r="AG33" s="537"/>
      <c r="AH33" s="537"/>
      <c r="AI33" s="537"/>
    </row>
    <row r="34" spans="5:35" ht="12.75" customHeight="1" x14ac:dyDescent="0.2">
      <c r="E34" s="956" t="b">
        <f>IF(Lehmputz!$B17&gt;0,Lehmputz!B17)</f>
        <v>0</v>
      </c>
      <c r="F34" s="956" t="b">
        <f>IF(Lehmputz!$B17&gt;0,Lehmputz!C17)</f>
        <v>0</v>
      </c>
      <c r="G34" s="956" t="b">
        <f>IF(Lehmputz!$B17&gt;0,Lehmputz!D17)</f>
        <v>0</v>
      </c>
      <c r="H34" s="966" t="b">
        <f>IF(Lehmputz!$B17&gt;0,Lehmputz!E17)</f>
        <v>0</v>
      </c>
      <c r="I34" s="966" t="b">
        <f>IF(Lehmputz!$B17&gt;0,Lehmputz!F17)</f>
        <v>0</v>
      </c>
      <c r="J34" s="966" t="b">
        <f>IF(Lehmputz!$B17&gt;0,Lehmputz!G17)</f>
        <v>0</v>
      </c>
      <c r="K34" s="955"/>
      <c r="L34" s="955"/>
      <c r="M34" s="1042" t="b">
        <f>IF(Lehmputz!$B17&gt;0,Lehmputz!J17)</f>
        <v>0</v>
      </c>
      <c r="N34" s="1045" t="b">
        <f>IF(Lehmputz!$B17&gt;0,Lehmputz!W17)</f>
        <v>0</v>
      </c>
      <c r="O34" s="966" t="b">
        <f>IF(Lehmputz!$B17&gt;0,Lehmputz!X17)</f>
        <v>0</v>
      </c>
      <c r="P34" s="971"/>
      <c r="Q34" s="537"/>
      <c r="R34" s="537"/>
      <c r="S34" s="537"/>
      <c r="T34" s="537"/>
      <c r="U34" s="537"/>
      <c r="V34" s="537"/>
      <c r="W34" s="537"/>
      <c r="X34" s="537"/>
      <c r="Y34" s="537"/>
      <c r="AB34" s="537"/>
      <c r="AC34" s="537"/>
      <c r="AD34" s="537"/>
      <c r="AE34" s="537"/>
      <c r="AF34" s="537"/>
      <c r="AG34" s="537"/>
      <c r="AH34" s="537"/>
      <c r="AI34" s="537"/>
    </row>
    <row r="35" spans="5:35" ht="12.75" customHeight="1" x14ac:dyDescent="0.2">
      <c r="E35" s="956" t="b">
        <f>IF(Lehmputz!$B18&gt;0,Lehmputz!B18)</f>
        <v>0</v>
      </c>
      <c r="F35" s="956" t="b">
        <f>IF(Lehmputz!$B18&gt;0,Lehmputz!C18)</f>
        <v>0</v>
      </c>
      <c r="G35" s="956" t="b">
        <f>IF(Lehmputz!$B18&gt;0,Lehmputz!D18)</f>
        <v>0</v>
      </c>
      <c r="H35" s="966" t="b">
        <f>IF(Lehmputz!$B18&gt;0,Lehmputz!E18)</f>
        <v>0</v>
      </c>
      <c r="I35" s="966" t="b">
        <f>IF(Lehmputz!$B18&gt;0,Lehmputz!F18)</f>
        <v>0</v>
      </c>
      <c r="J35" s="966" t="b">
        <f>IF(Lehmputz!$B18&gt;0,Lehmputz!G18)</f>
        <v>0</v>
      </c>
      <c r="K35" s="955"/>
      <c r="L35" s="955"/>
      <c r="M35" s="1042" t="b">
        <f>IF(Lehmputz!$B18&gt;0,Lehmputz!J18)</f>
        <v>0</v>
      </c>
      <c r="N35" s="1045" t="b">
        <f>IF(Lehmputz!$B18&gt;0,Lehmputz!W18)</f>
        <v>0</v>
      </c>
      <c r="O35" s="966" t="b">
        <f>IF(Lehmputz!$B18&gt;0,Lehmputz!X18)</f>
        <v>0</v>
      </c>
      <c r="P35" s="971"/>
      <c r="Q35" s="537"/>
      <c r="R35" s="537"/>
      <c r="S35" s="537"/>
      <c r="T35" s="537"/>
      <c r="U35" s="537"/>
      <c r="V35" s="537"/>
      <c r="W35" s="537"/>
      <c r="X35" s="537"/>
      <c r="Y35" s="537"/>
      <c r="AB35" s="537"/>
      <c r="AC35" s="537"/>
      <c r="AD35" s="537"/>
      <c r="AE35" s="537"/>
      <c r="AF35" s="537"/>
      <c r="AG35" s="537"/>
      <c r="AH35" s="537"/>
      <c r="AI35" s="537"/>
    </row>
    <row r="36" spans="5:35" ht="12.75" customHeight="1" x14ac:dyDescent="0.2">
      <c r="E36" s="956" t="b">
        <f>IF(Lehmputz!$B19&gt;0,Lehmputz!B19)</f>
        <v>0</v>
      </c>
      <c r="F36" s="956" t="b">
        <f>IF(Lehmputz!$B19&gt;0,Lehmputz!C19)</f>
        <v>0</v>
      </c>
      <c r="G36" s="956" t="b">
        <f>IF(Lehmputz!$B19&gt;0,Lehmputz!D19)</f>
        <v>0</v>
      </c>
      <c r="H36" s="966" t="b">
        <f>IF(Lehmputz!$B19&gt;0,Lehmputz!E19)</f>
        <v>0</v>
      </c>
      <c r="I36" s="966" t="b">
        <f>IF(Lehmputz!$B19&gt;0,Lehmputz!F19)</f>
        <v>0</v>
      </c>
      <c r="J36" s="966" t="b">
        <f>IF(Lehmputz!$B19&gt;0,Lehmputz!G19)</f>
        <v>0</v>
      </c>
      <c r="K36" s="955"/>
      <c r="L36" s="955"/>
      <c r="M36" s="1042" t="b">
        <f>IF(Lehmputz!$B19&gt;0,Lehmputz!J19)</f>
        <v>0</v>
      </c>
      <c r="N36" s="1045" t="b">
        <f>IF(Lehmputz!$B19&gt;0,Lehmputz!W19)</f>
        <v>0</v>
      </c>
      <c r="O36" s="966" t="b">
        <f>IF(Lehmputz!$B19&gt;0,Lehmputz!X19)</f>
        <v>0</v>
      </c>
      <c r="P36" s="971"/>
      <c r="Q36" s="537"/>
      <c r="R36" s="537"/>
      <c r="S36" s="537"/>
      <c r="T36" s="537"/>
      <c r="U36" s="537"/>
      <c r="V36" s="537"/>
      <c r="W36" s="537"/>
      <c r="X36" s="537"/>
      <c r="Y36" s="537"/>
      <c r="AB36" s="537"/>
      <c r="AC36" s="537"/>
      <c r="AD36" s="537"/>
      <c r="AE36" s="537"/>
      <c r="AF36" s="537"/>
      <c r="AG36" s="537"/>
      <c r="AH36" s="537"/>
      <c r="AI36" s="537"/>
    </row>
    <row r="37" spans="5:35" ht="12.75" customHeight="1" x14ac:dyDescent="0.2">
      <c r="E37" s="956" t="b">
        <f>IF(Lehmputz!$B20&gt;0,Lehmputz!B20)</f>
        <v>0</v>
      </c>
      <c r="F37" s="956" t="b">
        <f>IF(Lehmputz!$B20&gt;0,Lehmputz!C20)</f>
        <v>0</v>
      </c>
      <c r="G37" s="956" t="b">
        <f>IF(Lehmputz!$B20&gt;0,Lehmputz!D20)</f>
        <v>0</v>
      </c>
      <c r="H37" s="966" t="b">
        <f>IF(Lehmputz!$B20&gt;0,Lehmputz!E20)</f>
        <v>0</v>
      </c>
      <c r="I37" s="966" t="b">
        <f>IF(Lehmputz!$B20&gt;0,Lehmputz!F20)</f>
        <v>0</v>
      </c>
      <c r="J37" s="966" t="b">
        <f>IF(Lehmputz!$B20&gt;0,Lehmputz!G20)</f>
        <v>0</v>
      </c>
      <c r="K37" s="955"/>
      <c r="L37" s="955"/>
      <c r="M37" s="1042" t="b">
        <f>IF(Lehmputz!$B20&gt;0,Lehmputz!J20)</f>
        <v>0</v>
      </c>
      <c r="N37" s="1045" t="b">
        <f>IF(Lehmputz!$B20&gt;0,Lehmputz!W20)</f>
        <v>0</v>
      </c>
      <c r="O37" s="966" t="b">
        <f>IF(Lehmputz!$B20&gt;0,Lehmputz!X20)</f>
        <v>0</v>
      </c>
      <c r="P37" s="971"/>
      <c r="Q37" s="537"/>
      <c r="R37" s="537"/>
      <c r="S37" s="537"/>
      <c r="T37" s="537"/>
      <c r="U37" s="537"/>
      <c r="V37" s="537"/>
      <c r="W37" s="537"/>
      <c r="X37" s="537"/>
      <c r="Y37" s="537"/>
      <c r="AB37" s="537"/>
      <c r="AC37" s="537"/>
      <c r="AD37" s="537"/>
      <c r="AE37" s="537"/>
      <c r="AF37" s="537"/>
      <c r="AG37" s="537"/>
      <c r="AH37" s="537"/>
      <c r="AI37" s="537"/>
    </row>
    <row r="38" spans="5:35" ht="12.75" customHeight="1" x14ac:dyDescent="0.2">
      <c r="E38" s="956" t="b">
        <f>IF(Lehmputz!$B21&gt;0,Lehmputz!B21)</f>
        <v>0</v>
      </c>
      <c r="F38" s="956" t="b">
        <f>IF(Lehmputz!$B21&gt;0,Lehmputz!C21)</f>
        <v>0</v>
      </c>
      <c r="G38" s="956" t="b">
        <f>IF(Lehmputz!$B21&gt;0,Lehmputz!D21)</f>
        <v>0</v>
      </c>
      <c r="H38" s="966" t="b">
        <f>IF(Lehmputz!$B21&gt;0,Lehmputz!E21)</f>
        <v>0</v>
      </c>
      <c r="I38" s="966" t="b">
        <f>IF(Lehmputz!$B21&gt;0,Lehmputz!F21)</f>
        <v>0</v>
      </c>
      <c r="J38" s="966" t="b">
        <f>IF(Lehmputz!$B21&gt;0,Lehmputz!G21)</f>
        <v>0</v>
      </c>
      <c r="K38" s="955"/>
      <c r="L38" s="955"/>
      <c r="M38" s="1042" t="b">
        <f>IF(Lehmputz!$B21&gt;0,Lehmputz!J21)</f>
        <v>0</v>
      </c>
      <c r="N38" s="1045" t="b">
        <f>IF(Lehmputz!$B21&gt;0,Lehmputz!W21)</f>
        <v>0</v>
      </c>
      <c r="O38" s="966" t="b">
        <f>IF(Lehmputz!$B21&gt;0,Lehmputz!X21)</f>
        <v>0</v>
      </c>
      <c r="P38" s="971"/>
      <c r="Q38" s="537"/>
      <c r="R38" s="537"/>
      <c r="S38" s="537"/>
      <c r="T38" s="537"/>
      <c r="U38" s="537"/>
      <c r="V38" s="537"/>
      <c r="W38" s="537"/>
      <c r="X38" s="537"/>
      <c r="Y38" s="537"/>
      <c r="AB38" s="537"/>
      <c r="AC38" s="537"/>
      <c r="AD38" s="537"/>
      <c r="AE38" s="537"/>
      <c r="AF38" s="537"/>
      <c r="AG38" s="537"/>
      <c r="AH38" s="537"/>
      <c r="AI38" s="537"/>
    </row>
    <row r="39" spans="5:35" ht="12.75" customHeight="1" x14ac:dyDescent="0.2">
      <c r="E39" s="956" t="b">
        <f>IF(Lehmputz!$B22&gt;0,Lehmputz!B22)</f>
        <v>0</v>
      </c>
      <c r="F39" s="956" t="b">
        <f>IF(Lehmputz!$B22&gt;0,Lehmputz!C22)</f>
        <v>0</v>
      </c>
      <c r="G39" s="956" t="b">
        <f>IF(Lehmputz!$B22&gt;0,Lehmputz!D22)</f>
        <v>0</v>
      </c>
      <c r="H39" s="966" t="b">
        <f>IF(Lehmputz!$B22&gt;0,Lehmputz!E22)</f>
        <v>0</v>
      </c>
      <c r="I39" s="966" t="b">
        <f>IF(Lehmputz!$B22&gt;0,Lehmputz!F22)</f>
        <v>0</v>
      </c>
      <c r="J39" s="966" t="b">
        <f>IF(Lehmputz!$B22&gt;0,Lehmputz!G22)</f>
        <v>0</v>
      </c>
      <c r="K39" s="955"/>
      <c r="L39" s="955"/>
      <c r="M39" s="1042" t="b">
        <f>IF(Lehmputz!$B22&gt;0,Lehmputz!J22)</f>
        <v>0</v>
      </c>
      <c r="N39" s="1045" t="b">
        <f>IF(Lehmputz!$B22&gt;0,Lehmputz!W22)</f>
        <v>0</v>
      </c>
      <c r="O39" s="966" t="b">
        <f>IF(Lehmputz!$B22&gt;0,Lehmputz!X22)</f>
        <v>0</v>
      </c>
      <c r="P39" s="971"/>
      <c r="Q39" s="537"/>
      <c r="R39" s="537"/>
      <c r="S39" s="537"/>
      <c r="T39" s="537"/>
      <c r="U39" s="537"/>
      <c r="V39" s="537"/>
      <c r="W39" s="537"/>
      <c r="X39" s="537"/>
      <c r="Y39" s="537"/>
      <c r="AB39" s="537"/>
      <c r="AC39" s="537"/>
      <c r="AD39" s="537"/>
      <c r="AE39" s="537"/>
      <c r="AF39" s="537"/>
      <c r="AG39" s="537"/>
      <c r="AH39" s="537"/>
      <c r="AI39" s="537"/>
    </row>
    <row r="40" spans="5:35" ht="12.75" customHeight="1" x14ac:dyDescent="0.2">
      <c r="E40" s="956" t="b">
        <f>IF(Lehmputz!$B23&gt;0,Lehmputz!B23)</f>
        <v>0</v>
      </c>
      <c r="F40" s="956" t="b">
        <f>IF(Lehmputz!$B23&gt;0,Lehmputz!C23)</f>
        <v>0</v>
      </c>
      <c r="G40" s="956" t="b">
        <f>IF(Lehmputz!$B23&gt;0,Lehmputz!D23)</f>
        <v>0</v>
      </c>
      <c r="H40" s="966" t="b">
        <f>IF(Lehmputz!$B23&gt;0,Lehmputz!E23)</f>
        <v>0</v>
      </c>
      <c r="I40" s="966" t="b">
        <f>IF(Lehmputz!$B23&gt;0,Lehmputz!F23)</f>
        <v>0</v>
      </c>
      <c r="J40" s="966" t="b">
        <f>IF(Lehmputz!$B23&gt;0,Lehmputz!G23)</f>
        <v>0</v>
      </c>
      <c r="K40" s="955"/>
      <c r="L40" s="955"/>
      <c r="M40" s="1042" t="b">
        <f>IF(Lehmputz!$B23&gt;0,Lehmputz!J23)</f>
        <v>0</v>
      </c>
      <c r="N40" s="1045" t="b">
        <f>IF(Lehmputz!$B23&gt;0,Lehmputz!W23)</f>
        <v>0</v>
      </c>
      <c r="O40" s="966" t="b">
        <f>IF(Lehmputz!$B23&gt;0,Lehmputz!X23)</f>
        <v>0</v>
      </c>
      <c r="P40" s="971"/>
      <c r="Q40" s="537"/>
      <c r="R40" s="537"/>
      <c r="S40" s="537"/>
      <c r="T40" s="537"/>
      <c r="U40" s="537"/>
      <c r="V40" s="537"/>
      <c r="W40" s="537"/>
      <c r="X40" s="537"/>
      <c r="Y40" s="537"/>
      <c r="AB40" s="537"/>
      <c r="AC40" s="537"/>
      <c r="AD40" s="537"/>
      <c r="AE40" s="537"/>
      <c r="AF40" s="537"/>
      <c r="AG40" s="537"/>
      <c r="AH40" s="537"/>
      <c r="AI40" s="537"/>
    </row>
    <row r="41" spans="5:35" ht="12.75" customHeight="1" x14ac:dyDescent="0.2">
      <c r="E41" s="956" t="b">
        <f>IF(Lehmputz!$B24&gt;0,Lehmputz!B24)</f>
        <v>0</v>
      </c>
      <c r="F41" s="956" t="b">
        <f>IF(Lehmputz!$B24&gt;0,Lehmputz!C24)</f>
        <v>0</v>
      </c>
      <c r="G41" s="956" t="b">
        <f>IF(Lehmputz!$B24&gt;0,Lehmputz!D24)</f>
        <v>0</v>
      </c>
      <c r="H41" s="966" t="b">
        <f>IF(Lehmputz!$B24&gt;0,Lehmputz!E24)</f>
        <v>0</v>
      </c>
      <c r="I41" s="966" t="b">
        <f>IF(Lehmputz!$B24&gt;0,Lehmputz!F24)</f>
        <v>0</v>
      </c>
      <c r="J41" s="966" t="b">
        <f>IF(Lehmputz!$B24&gt;0,Lehmputz!G24)</f>
        <v>0</v>
      </c>
      <c r="K41" s="955"/>
      <c r="L41" s="955"/>
      <c r="M41" s="1042" t="b">
        <f>IF(Lehmputz!$B24&gt;0,Lehmputz!J24)</f>
        <v>0</v>
      </c>
      <c r="N41" s="1045" t="b">
        <f>IF(Lehmputz!$B24&gt;0,Lehmputz!W24)</f>
        <v>0</v>
      </c>
      <c r="O41" s="966" t="b">
        <f>IF(Lehmputz!$B24&gt;0,Lehmputz!X24)</f>
        <v>0</v>
      </c>
      <c r="P41" s="971"/>
      <c r="Q41" s="537"/>
      <c r="R41" s="537"/>
      <c r="S41" s="537"/>
      <c r="T41" s="537"/>
      <c r="U41" s="537"/>
      <c r="V41" s="537"/>
      <c r="W41" s="537"/>
      <c r="X41" s="537"/>
      <c r="Y41" s="537"/>
      <c r="AB41" s="537"/>
      <c r="AC41" s="537"/>
      <c r="AD41" s="537"/>
      <c r="AE41" s="537"/>
      <c r="AF41" s="537"/>
      <c r="AG41" s="537"/>
      <c r="AH41" s="537"/>
      <c r="AI41" s="537"/>
    </row>
    <row r="42" spans="5:35" ht="12.75" customHeight="1" x14ac:dyDescent="0.2">
      <c r="E42" s="956" t="b">
        <f>IF(Lehmputz!$B25&gt;0,Lehmputz!B25)</f>
        <v>0</v>
      </c>
      <c r="F42" s="956" t="b">
        <f>IF(Lehmputz!$B25&gt;0,Lehmputz!C25)</f>
        <v>0</v>
      </c>
      <c r="G42" s="956" t="b">
        <f>IF(Lehmputz!$B25&gt;0,Lehmputz!D25)</f>
        <v>0</v>
      </c>
      <c r="H42" s="966" t="b">
        <f>IF(Lehmputz!$B25&gt;0,Lehmputz!E25)</f>
        <v>0</v>
      </c>
      <c r="I42" s="966" t="b">
        <f>IF(Lehmputz!$B25&gt;0,Lehmputz!F25)</f>
        <v>0</v>
      </c>
      <c r="J42" s="966" t="b">
        <f>IF(Lehmputz!$B25&gt;0,Lehmputz!G25)</f>
        <v>0</v>
      </c>
      <c r="K42" s="955"/>
      <c r="L42" s="955"/>
      <c r="M42" s="1042" t="b">
        <f>IF(Lehmputz!$B25&gt;0,Lehmputz!J25)</f>
        <v>0</v>
      </c>
      <c r="N42" s="1045" t="b">
        <f>IF(Lehmputz!$B25&gt;0,Lehmputz!W25)</f>
        <v>0</v>
      </c>
      <c r="O42" s="966" t="b">
        <f>IF(Lehmputz!$B25&gt;0,Lehmputz!X25)</f>
        <v>0</v>
      </c>
      <c r="P42" s="971"/>
      <c r="Q42" s="537"/>
      <c r="R42" s="537"/>
      <c r="S42" s="537"/>
      <c r="T42" s="537"/>
      <c r="U42" s="537"/>
      <c r="V42" s="537"/>
      <c r="W42" s="537"/>
      <c r="X42" s="537"/>
      <c r="Y42" s="537"/>
      <c r="AB42" s="537"/>
      <c r="AC42" s="537"/>
      <c r="AD42" s="537"/>
      <c r="AE42" s="537"/>
      <c r="AF42" s="537"/>
      <c r="AG42" s="537"/>
      <c r="AH42" s="537"/>
      <c r="AI42" s="537"/>
    </row>
    <row r="43" spans="5:35" ht="12.75" customHeight="1" x14ac:dyDescent="0.2">
      <c r="E43" s="956" t="b">
        <f>IF(Lehmputz!$B26&gt;0,Lehmputz!B26)</f>
        <v>0</v>
      </c>
      <c r="F43" s="956" t="b">
        <f>IF(Lehmputz!$B26&gt;0,Lehmputz!C26)</f>
        <v>0</v>
      </c>
      <c r="G43" s="956" t="b">
        <f>IF(Lehmputz!$B26&gt;0,Lehmputz!D26)</f>
        <v>0</v>
      </c>
      <c r="H43" s="966" t="b">
        <f>IF(Lehmputz!$B26&gt;0,Lehmputz!E26)</f>
        <v>0</v>
      </c>
      <c r="I43" s="966" t="b">
        <f>IF(Lehmputz!$B26&gt;0,Lehmputz!F26)</f>
        <v>0</v>
      </c>
      <c r="J43" s="966" t="b">
        <f>IF(Lehmputz!$B26&gt;0,Lehmputz!G26)</f>
        <v>0</v>
      </c>
      <c r="K43" s="955"/>
      <c r="L43" s="955"/>
      <c r="M43" s="1042" t="b">
        <f>IF(Lehmputz!$B26&gt;0,Lehmputz!J26)</f>
        <v>0</v>
      </c>
      <c r="N43" s="1045" t="b">
        <f>IF(Lehmputz!$B26&gt;0,Lehmputz!W26)</f>
        <v>0</v>
      </c>
      <c r="O43" s="966" t="b">
        <f>IF(Lehmputz!$B26&gt;0,Lehmputz!X26)</f>
        <v>0</v>
      </c>
      <c r="P43" s="971"/>
      <c r="Q43" s="537"/>
      <c r="R43" s="537"/>
      <c r="S43" s="537"/>
      <c r="T43" s="537"/>
      <c r="U43" s="537"/>
      <c r="V43" s="537"/>
      <c r="W43" s="537"/>
      <c r="X43" s="537"/>
      <c r="Y43" s="537"/>
      <c r="AB43" s="537"/>
      <c r="AC43" s="537"/>
      <c r="AD43" s="537"/>
      <c r="AE43" s="537"/>
      <c r="AF43" s="537"/>
      <c r="AG43" s="537"/>
      <c r="AH43" s="537"/>
      <c r="AI43" s="537"/>
    </row>
    <row r="44" spans="5:35" ht="12.75" customHeight="1" x14ac:dyDescent="0.2">
      <c r="E44" s="956" t="b">
        <f>IF(Lehmputz!$B27&gt;0,Lehmputz!B27)</f>
        <v>0</v>
      </c>
      <c r="F44" s="956" t="b">
        <f>IF(Lehmputz!$B27&gt;0,Lehmputz!C27)</f>
        <v>0</v>
      </c>
      <c r="G44" s="956" t="b">
        <f>IF(Lehmputz!$B27&gt;0,Lehmputz!D27)</f>
        <v>0</v>
      </c>
      <c r="H44" s="966" t="b">
        <f>IF(Lehmputz!$B27&gt;0,Lehmputz!E27)</f>
        <v>0</v>
      </c>
      <c r="I44" s="966" t="b">
        <f>IF(Lehmputz!$B27&gt;0,Lehmputz!F27)</f>
        <v>0</v>
      </c>
      <c r="J44" s="966" t="b">
        <f>IF(Lehmputz!$B27&gt;0,Lehmputz!G27)</f>
        <v>0</v>
      </c>
      <c r="K44" s="955"/>
      <c r="L44" s="955"/>
      <c r="M44" s="1042" t="b">
        <f>IF(Lehmputz!$B27&gt;0,Lehmputz!J27)</f>
        <v>0</v>
      </c>
      <c r="N44" s="1045" t="b">
        <f>IF(Lehmputz!$B27&gt;0,Lehmputz!W27)</f>
        <v>0</v>
      </c>
      <c r="O44" s="966" t="b">
        <f>IF(Lehmputz!$B27&gt;0,Lehmputz!X27)</f>
        <v>0</v>
      </c>
      <c r="P44" s="971"/>
      <c r="Q44" s="537"/>
      <c r="R44" s="537"/>
      <c r="S44" s="537"/>
      <c r="T44" s="537"/>
      <c r="U44" s="537"/>
      <c r="V44" s="537"/>
      <c r="W44" s="537"/>
      <c r="X44" s="537"/>
      <c r="Y44" s="537"/>
      <c r="AB44" s="537"/>
      <c r="AC44" s="537"/>
      <c r="AD44" s="537"/>
      <c r="AE44" s="537"/>
      <c r="AF44" s="537"/>
      <c r="AG44" s="537"/>
      <c r="AH44" s="537"/>
      <c r="AI44" s="537"/>
    </row>
    <row r="45" spans="5:35" ht="12.75" customHeight="1" x14ac:dyDescent="0.2">
      <c r="E45" s="956" t="b">
        <f>IF(Lehmputz!$B28&gt;0,Lehmputz!B28)</f>
        <v>0</v>
      </c>
      <c r="F45" s="956" t="b">
        <f>IF(Lehmputz!$B28&gt;0,Lehmputz!C28)</f>
        <v>0</v>
      </c>
      <c r="G45" s="956" t="b">
        <f>IF(Lehmputz!$B28&gt;0,Lehmputz!D28)</f>
        <v>0</v>
      </c>
      <c r="H45" s="966" t="b">
        <f>IF(Lehmputz!$B28&gt;0,Lehmputz!E28)</f>
        <v>0</v>
      </c>
      <c r="I45" s="966" t="b">
        <f>IF(Lehmputz!$B28&gt;0,Lehmputz!F28)</f>
        <v>0</v>
      </c>
      <c r="J45" s="966" t="b">
        <f>IF(Lehmputz!$B28&gt;0,Lehmputz!G28)</f>
        <v>0</v>
      </c>
      <c r="K45" s="955"/>
      <c r="L45" s="955"/>
      <c r="M45" s="1042" t="b">
        <f>IF(Lehmputz!$B28&gt;0,Lehmputz!J28)</f>
        <v>0</v>
      </c>
      <c r="N45" s="1045" t="b">
        <f>IF(Lehmputz!$B28&gt;0,Lehmputz!W28)</f>
        <v>0</v>
      </c>
      <c r="O45" s="966" t="b">
        <f>IF(Lehmputz!$B28&gt;0,Lehmputz!X28)</f>
        <v>0</v>
      </c>
      <c r="P45" s="783"/>
    </row>
    <row r="46" spans="5:35" ht="12.75" customHeight="1" x14ac:dyDescent="0.2">
      <c r="E46" s="956" t="b">
        <f>IF(Lehmputz!$B29&gt;0,Lehmputz!B29)</f>
        <v>0</v>
      </c>
      <c r="F46" s="956" t="b">
        <f>IF(Lehmputz!$B29&gt;0,Lehmputz!C29)</f>
        <v>0</v>
      </c>
      <c r="G46" s="956" t="b">
        <f>IF(Lehmputz!$B29&gt;0,Lehmputz!D29)</f>
        <v>0</v>
      </c>
      <c r="H46" s="966" t="b">
        <f>IF(Lehmputz!$B29&gt;0,Lehmputz!E29)</f>
        <v>0</v>
      </c>
      <c r="I46" s="966" t="b">
        <f>IF(Lehmputz!$B29&gt;0,Lehmputz!F29)</f>
        <v>0</v>
      </c>
      <c r="J46" s="966" t="b">
        <f>IF(Lehmputz!$B29&gt;0,Lehmputz!G29)</f>
        <v>0</v>
      </c>
      <c r="K46" s="955"/>
      <c r="L46" s="955"/>
      <c r="M46" s="1042" t="b">
        <f>IF(Lehmputz!$B29&gt;0,Lehmputz!J29)</f>
        <v>0</v>
      </c>
      <c r="N46" s="1045" t="b">
        <f>IF(Lehmputz!$B29&gt;0,Lehmputz!W29)</f>
        <v>0</v>
      </c>
      <c r="O46" s="966" t="b">
        <f>IF(Lehmputz!$B29&gt;0,Lehmputz!X29)</f>
        <v>0</v>
      </c>
      <c r="P46" s="783"/>
    </row>
    <row r="47" spans="5:35" ht="12.75" customHeight="1" x14ac:dyDescent="0.2">
      <c r="E47" s="956" t="b">
        <f>IF(Lehmputz!$B30&gt;0,Lehmputz!B30)</f>
        <v>0</v>
      </c>
      <c r="F47" s="956" t="b">
        <f>IF(Lehmputz!$B30&gt;0,Lehmputz!C30)</f>
        <v>0</v>
      </c>
      <c r="G47" s="956" t="b">
        <f>IF(Lehmputz!$B30&gt;0,Lehmputz!D30)</f>
        <v>0</v>
      </c>
      <c r="H47" s="966" t="b">
        <f>IF(Lehmputz!$B30&gt;0,Lehmputz!E30)</f>
        <v>0</v>
      </c>
      <c r="I47" s="966" t="b">
        <f>IF(Lehmputz!$B30&gt;0,Lehmputz!F30)</f>
        <v>0</v>
      </c>
      <c r="J47" s="966" t="b">
        <f>IF(Lehmputz!$B30&gt;0,Lehmputz!G30)</f>
        <v>0</v>
      </c>
      <c r="K47" s="955"/>
      <c r="L47" s="955"/>
      <c r="M47" s="1042" t="b">
        <f>IF(Lehmputz!$B30&gt;0,Lehmputz!J30)</f>
        <v>0</v>
      </c>
      <c r="N47" s="1045" t="b">
        <f>IF(Lehmputz!$B30&gt;0,Lehmputz!W30)</f>
        <v>0</v>
      </c>
      <c r="O47" s="966" t="b">
        <f>IF(Lehmputz!$B30&gt;0,Lehmputz!X30)</f>
        <v>0</v>
      </c>
      <c r="P47" s="783"/>
    </row>
    <row r="48" spans="5:35" ht="12.75" customHeight="1" x14ac:dyDescent="0.2">
      <c r="E48" s="956" t="b">
        <f>IF(Lehmputz!$B31&gt;0,Lehmputz!B31)</f>
        <v>0</v>
      </c>
      <c r="F48" s="956" t="b">
        <f>IF(Lehmputz!$B31&gt;0,Lehmputz!C31)</f>
        <v>0</v>
      </c>
      <c r="G48" s="956" t="b">
        <f>IF(Lehmputz!$B31&gt;0,Lehmputz!D31)</f>
        <v>0</v>
      </c>
      <c r="H48" s="966" t="b">
        <f>IF(Lehmputz!$B31&gt;0,Lehmputz!E31)</f>
        <v>0</v>
      </c>
      <c r="I48" s="966" t="b">
        <f>IF(Lehmputz!$B31&gt;0,Lehmputz!F31)</f>
        <v>0</v>
      </c>
      <c r="J48" s="966" t="b">
        <f>IF(Lehmputz!$B31&gt;0,Lehmputz!G31)</f>
        <v>0</v>
      </c>
      <c r="K48" s="955"/>
      <c r="L48" s="955"/>
      <c r="M48" s="1042" t="b">
        <f>IF(Lehmputz!$B31&gt;0,Lehmputz!J31)</f>
        <v>0</v>
      </c>
      <c r="N48" s="1045" t="b">
        <f>IF(Lehmputz!$B31&gt;0,Lehmputz!W31)</f>
        <v>0</v>
      </c>
      <c r="O48" s="966" t="b">
        <f>IF(Lehmputz!$B31&gt;0,Lehmputz!X31)</f>
        <v>0</v>
      </c>
      <c r="P48" s="783"/>
    </row>
    <row r="49" spans="5:16" ht="12.75" customHeight="1" x14ac:dyDescent="0.2">
      <c r="E49" s="956" t="b">
        <f>IF(Lehmputz!$B32&gt;0,Lehmputz!B32)</f>
        <v>0</v>
      </c>
      <c r="F49" s="956" t="b">
        <f>IF(Lehmputz!$B32&gt;0,Lehmputz!C32)</f>
        <v>0</v>
      </c>
      <c r="G49" s="956" t="b">
        <f>IF(Lehmputz!$B32&gt;0,Lehmputz!D32)</f>
        <v>0</v>
      </c>
      <c r="H49" s="966" t="b">
        <f>IF(Lehmputz!$B32&gt;0,Lehmputz!E32)</f>
        <v>0</v>
      </c>
      <c r="I49" s="966" t="b">
        <f>IF(Lehmputz!$B32&gt;0,Lehmputz!F32)</f>
        <v>0</v>
      </c>
      <c r="J49" s="966" t="b">
        <f>IF(Lehmputz!$B32&gt;0,Lehmputz!G32)</f>
        <v>0</v>
      </c>
      <c r="K49" s="955"/>
      <c r="L49" s="955"/>
      <c r="M49" s="1042" t="b">
        <f>IF(Lehmputz!$B32&gt;0,Lehmputz!J32)</f>
        <v>0</v>
      </c>
      <c r="N49" s="1045" t="b">
        <f>IF(Lehmputz!$B32&gt;0,Lehmputz!W32)</f>
        <v>0</v>
      </c>
      <c r="O49" s="966" t="b">
        <f>IF(Lehmputz!$B32&gt;0,Lehmputz!X32)</f>
        <v>0</v>
      </c>
      <c r="P49" s="783"/>
    </row>
    <row r="50" spans="5:16" ht="12.75" customHeight="1" x14ac:dyDescent="0.2">
      <c r="E50" s="956" t="b">
        <f>IF(Lehmputz!$B33&gt;0,Lehmputz!B33)</f>
        <v>0</v>
      </c>
      <c r="F50" s="956" t="b">
        <f>IF(Lehmputz!$B33&gt;0,Lehmputz!C33)</f>
        <v>0</v>
      </c>
      <c r="G50" s="956" t="b">
        <f>IF(Lehmputz!$B33&gt;0,Lehmputz!D33)</f>
        <v>0</v>
      </c>
      <c r="H50" s="966" t="b">
        <f>IF(Lehmputz!$B33&gt;0,Lehmputz!E33)</f>
        <v>0</v>
      </c>
      <c r="I50" s="966" t="b">
        <f>IF(Lehmputz!$B33&gt;0,Lehmputz!F33)</f>
        <v>0</v>
      </c>
      <c r="J50" s="966" t="b">
        <f>IF(Lehmputz!$B33&gt;0,Lehmputz!G33)</f>
        <v>0</v>
      </c>
      <c r="K50" s="955"/>
      <c r="L50" s="955"/>
      <c r="M50" s="1042" t="b">
        <f>IF(Lehmputz!$B33&gt;0,Lehmputz!J33)</f>
        <v>0</v>
      </c>
      <c r="N50" s="1045" t="b">
        <f>IF(Lehmputz!$B33&gt;0,Lehmputz!W33)</f>
        <v>0</v>
      </c>
      <c r="O50" s="966" t="b">
        <f>IF(Lehmputz!$B33&gt;0,Lehmputz!X33)</f>
        <v>0</v>
      </c>
      <c r="P50" s="783"/>
    </row>
    <row r="51" spans="5:16" ht="12.75" customHeight="1" x14ac:dyDescent="0.2">
      <c r="E51" s="956" t="b">
        <f>IF(Lehmputz!$B34&gt;0,Lehmputz!B34)</f>
        <v>0</v>
      </c>
      <c r="F51" s="956" t="b">
        <f>IF(Lehmputz!$B34&gt;0,Lehmputz!C34)</f>
        <v>0</v>
      </c>
      <c r="G51" s="956" t="b">
        <f>IF(Lehmputz!$B34&gt;0,Lehmputz!D34)</f>
        <v>0</v>
      </c>
      <c r="H51" s="966" t="b">
        <f>IF(Lehmputz!$B34&gt;0,Lehmputz!E34)</f>
        <v>0</v>
      </c>
      <c r="I51" s="966" t="b">
        <f>IF(Lehmputz!$B34&gt;0,Lehmputz!F34)</f>
        <v>0</v>
      </c>
      <c r="J51" s="966" t="b">
        <f>IF(Lehmputz!$B34&gt;0,Lehmputz!G34)</f>
        <v>0</v>
      </c>
      <c r="K51" s="955"/>
      <c r="L51" s="955"/>
      <c r="M51" s="1042" t="b">
        <f>IF(Lehmputz!$B34&gt;0,Lehmputz!J34)</f>
        <v>0</v>
      </c>
      <c r="N51" s="1045" t="b">
        <f>IF(Lehmputz!$B34&gt;0,Lehmputz!W34)</f>
        <v>0</v>
      </c>
      <c r="O51" s="966" t="b">
        <f>IF(Lehmputz!$B34&gt;0,Lehmputz!X34)</f>
        <v>0</v>
      </c>
      <c r="P51" s="783"/>
    </row>
    <row r="52" spans="5:16" ht="12.75" customHeight="1" x14ac:dyDescent="0.2">
      <c r="E52" s="956" t="b">
        <f>IF(Lehmputz!$B35&gt;0,Lehmputz!B35)</f>
        <v>0</v>
      </c>
      <c r="F52" s="956" t="b">
        <f>IF(Lehmputz!$B35&gt;0,Lehmputz!C35)</f>
        <v>0</v>
      </c>
      <c r="G52" s="956" t="b">
        <f>IF(Lehmputz!$B35&gt;0,Lehmputz!D35)</f>
        <v>0</v>
      </c>
      <c r="H52" s="966" t="b">
        <f>IF(Lehmputz!$B35&gt;0,Lehmputz!E35)</f>
        <v>0</v>
      </c>
      <c r="I52" s="966" t="b">
        <f>IF(Lehmputz!$B35&gt;0,Lehmputz!F35)</f>
        <v>0</v>
      </c>
      <c r="J52" s="966" t="b">
        <f>IF(Lehmputz!$B35&gt;0,Lehmputz!G35)</f>
        <v>0</v>
      </c>
      <c r="K52" s="955"/>
      <c r="L52" s="955"/>
      <c r="M52" s="1042" t="b">
        <f>IF(Lehmputz!$B35&gt;0,Lehmputz!J35)</f>
        <v>0</v>
      </c>
      <c r="N52" s="1045" t="b">
        <f>IF(Lehmputz!$B35&gt;0,Lehmputz!W35)</f>
        <v>0</v>
      </c>
      <c r="O52" s="966" t="b">
        <f>IF(Lehmputz!$B35&gt;0,Lehmputz!X35)</f>
        <v>0</v>
      </c>
      <c r="P52" s="783"/>
    </row>
    <row r="53" spans="5:16" ht="12.75" customHeight="1" x14ac:dyDescent="0.2">
      <c r="E53" s="956" t="b">
        <f>IF(Lehmputz!$B36&gt;0,Lehmputz!B36)</f>
        <v>0</v>
      </c>
      <c r="F53" s="956" t="b">
        <f>IF(Lehmputz!$B36&gt;0,Lehmputz!C36)</f>
        <v>0</v>
      </c>
      <c r="G53" s="956" t="b">
        <f>IF(Lehmputz!$B36&gt;0,Lehmputz!D36)</f>
        <v>0</v>
      </c>
      <c r="H53" s="966" t="b">
        <f>IF(Lehmputz!$B36&gt;0,Lehmputz!E36)</f>
        <v>0</v>
      </c>
      <c r="I53" s="966" t="b">
        <f>IF(Lehmputz!$B36&gt;0,Lehmputz!F36)</f>
        <v>0</v>
      </c>
      <c r="J53" s="966" t="b">
        <f>IF(Lehmputz!$B36&gt;0,Lehmputz!G36)</f>
        <v>0</v>
      </c>
      <c r="K53" s="955"/>
      <c r="L53" s="955"/>
      <c r="M53" s="1042" t="b">
        <f>IF(Lehmputz!$B36&gt;0,Lehmputz!J36)</f>
        <v>0</v>
      </c>
      <c r="N53" s="1045" t="b">
        <f>IF(Lehmputz!$B36&gt;0,Lehmputz!W36)</f>
        <v>0</v>
      </c>
      <c r="O53" s="966" t="b">
        <f>IF(Lehmputz!$B36&gt;0,Lehmputz!X36)</f>
        <v>0</v>
      </c>
      <c r="P53" s="783"/>
    </row>
    <row r="54" spans="5:16" ht="12.75" customHeight="1" x14ac:dyDescent="0.2">
      <c r="E54" s="956" t="b">
        <f>IF(Lehmputz!$B37&gt;0,Lehmputz!B37)</f>
        <v>0</v>
      </c>
      <c r="F54" s="956" t="b">
        <f>IF(Lehmputz!$B37&gt;0,Lehmputz!C37)</f>
        <v>0</v>
      </c>
      <c r="G54" s="956" t="b">
        <f>IF(Lehmputz!$B37&gt;0,Lehmputz!D37)</f>
        <v>0</v>
      </c>
      <c r="H54" s="966" t="b">
        <f>IF(Lehmputz!$B37&gt;0,Lehmputz!E37)</f>
        <v>0</v>
      </c>
      <c r="I54" s="966" t="b">
        <f>IF(Lehmputz!$B37&gt;0,Lehmputz!F37)</f>
        <v>0</v>
      </c>
      <c r="J54" s="966" t="b">
        <f>IF(Lehmputz!$B37&gt;0,Lehmputz!G37)</f>
        <v>0</v>
      </c>
      <c r="K54" s="955"/>
      <c r="L54" s="955"/>
      <c r="M54" s="1042" t="b">
        <f>IF(Lehmputz!$B37&gt;0,Lehmputz!J37)</f>
        <v>0</v>
      </c>
      <c r="N54" s="1045" t="b">
        <f>IF(Lehmputz!$B37&gt;0,Lehmputz!W37)</f>
        <v>0</v>
      </c>
      <c r="O54" s="966" t="b">
        <f>IF(Lehmputz!$B37&gt;0,Lehmputz!X37)</f>
        <v>0</v>
      </c>
      <c r="P54" s="783"/>
    </row>
    <row r="55" spans="5:16" ht="12.75" customHeight="1" x14ac:dyDescent="0.2">
      <c r="E55" s="956" t="b">
        <f>IF(Lehmputz!$B38&gt;0,Lehmputz!B38)</f>
        <v>0</v>
      </c>
      <c r="F55" s="956" t="b">
        <f>IF(Lehmputz!$B38&gt;0,Lehmputz!C38)</f>
        <v>0</v>
      </c>
      <c r="G55" s="956" t="b">
        <f>IF(Lehmputz!$B38&gt;0,Lehmputz!D38)</f>
        <v>0</v>
      </c>
      <c r="H55" s="966" t="b">
        <f>IF(Lehmputz!$B38&gt;0,Lehmputz!E38)</f>
        <v>0</v>
      </c>
      <c r="I55" s="966" t="b">
        <f>IF(Lehmputz!$B38&gt;0,Lehmputz!F38)</f>
        <v>0</v>
      </c>
      <c r="J55" s="966" t="b">
        <f>IF(Lehmputz!$B38&gt;0,Lehmputz!G38)</f>
        <v>0</v>
      </c>
      <c r="K55" s="955"/>
      <c r="L55" s="955"/>
      <c r="M55" s="1042" t="b">
        <f>IF(Lehmputz!$B38&gt;0,Lehmputz!J38)</f>
        <v>0</v>
      </c>
      <c r="N55" s="1045" t="b">
        <f>IF(Lehmputz!$B38&gt;0,Lehmputz!W38)</f>
        <v>0</v>
      </c>
      <c r="O55" s="966" t="b">
        <f>IF(Lehmputz!$B38&gt;0,Lehmputz!X38)</f>
        <v>0</v>
      </c>
      <c r="P55" s="783"/>
    </row>
    <row r="56" spans="5:16" ht="12.75" customHeight="1" x14ac:dyDescent="0.2">
      <c r="E56" s="956" t="b">
        <f>IF(Lehmputz!$B39&gt;0,Lehmputz!B39)</f>
        <v>0</v>
      </c>
      <c r="F56" s="956" t="b">
        <f>IF(Lehmputz!$B39&gt;0,Lehmputz!C39)</f>
        <v>0</v>
      </c>
      <c r="G56" s="956" t="b">
        <f>IF(Lehmputz!$B39&gt;0,Lehmputz!D39)</f>
        <v>0</v>
      </c>
      <c r="H56" s="966" t="b">
        <f>IF(Lehmputz!$B39&gt;0,Lehmputz!E39)</f>
        <v>0</v>
      </c>
      <c r="I56" s="966" t="b">
        <f>IF(Lehmputz!$B39&gt;0,Lehmputz!F39)</f>
        <v>0</v>
      </c>
      <c r="J56" s="966" t="b">
        <f>IF(Lehmputz!$B39&gt;0,Lehmputz!G39)</f>
        <v>0</v>
      </c>
      <c r="K56" s="955"/>
      <c r="L56" s="955"/>
      <c r="M56" s="1042" t="b">
        <f>IF(Lehmputz!$B39&gt;0,Lehmputz!J39)</f>
        <v>0</v>
      </c>
      <c r="N56" s="1045" t="b">
        <f>IF(Lehmputz!$B39&gt;0,Lehmputz!W39)</f>
        <v>0</v>
      </c>
      <c r="O56" s="966" t="b">
        <f>IF(Lehmputz!$B39&gt;0,Lehmputz!X39)</f>
        <v>0</v>
      </c>
      <c r="P56" s="783"/>
    </row>
    <row r="57" spans="5:16" ht="12.75" customHeight="1" x14ac:dyDescent="0.2">
      <c r="E57" s="956" t="b">
        <f>IF(Lehmputz!$B40&gt;0,Lehmputz!B40)</f>
        <v>0</v>
      </c>
      <c r="F57" s="956" t="b">
        <f>IF(Lehmputz!$B40&gt;0,Lehmputz!C40)</f>
        <v>0</v>
      </c>
      <c r="G57" s="956" t="b">
        <f>IF(Lehmputz!$B40&gt;0,Lehmputz!D40)</f>
        <v>0</v>
      </c>
      <c r="H57" s="966" t="b">
        <f>IF(Lehmputz!$B40&gt;0,Lehmputz!E40)</f>
        <v>0</v>
      </c>
      <c r="I57" s="966" t="b">
        <f>IF(Lehmputz!$B40&gt;0,Lehmputz!F40)</f>
        <v>0</v>
      </c>
      <c r="J57" s="966" t="b">
        <f>IF(Lehmputz!$B40&gt;0,Lehmputz!G40)</f>
        <v>0</v>
      </c>
      <c r="K57" s="955"/>
      <c r="L57" s="955"/>
      <c r="M57" s="1042" t="b">
        <f>IF(Lehmputz!$B40&gt;0,Lehmputz!J40)</f>
        <v>0</v>
      </c>
      <c r="N57" s="1045" t="b">
        <f>IF(Lehmputz!$B40&gt;0,Lehmputz!W40)</f>
        <v>0</v>
      </c>
      <c r="O57" s="966" t="b">
        <f>IF(Lehmputz!$B40&gt;0,Lehmputz!X40)</f>
        <v>0</v>
      </c>
      <c r="P57" s="783"/>
    </row>
    <row r="58" spans="5:16" ht="12.75" customHeight="1" x14ac:dyDescent="0.2">
      <c r="E58" s="956" t="b">
        <f>IF(Lehmputz!$B41&gt;0,Lehmputz!B41)</f>
        <v>0</v>
      </c>
      <c r="F58" s="956" t="b">
        <f>IF(Lehmputz!$B41&gt;0,Lehmputz!C41)</f>
        <v>0</v>
      </c>
      <c r="G58" s="956" t="b">
        <f>IF(Lehmputz!$B41&gt;0,Lehmputz!D41)</f>
        <v>0</v>
      </c>
      <c r="H58" s="966" t="b">
        <f>IF(Lehmputz!$B41&gt;0,Lehmputz!E41)</f>
        <v>0</v>
      </c>
      <c r="I58" s="966" t="b">
        <f>IF(Lehmputz!$B41&gt;0,Lehmputz!F41)</f>
        <v>0</v>
      </c>
      <c r="J58" s="966" t="b">
        <f>IF(Lehmputz!$B41&gt;0,Lehmputz!G41)</f>
        <v>0</v>
      </c>
      <c r="K58" s="955"/>
      <c r="L58" s="955"/>
      <c r="M58" s="1042" t="b">
        <f>IF(Lehmputz!$B41&gt;0,Lehmputz!J41)</f>
        <v>0</v>
      </c>
      <c r="N58" s="1045" t="b">
        <f>IF(Lehmputz!$B41&gt;0,Lehmputz!W41)</f>
        <v>0</v>
      </c>
      <c r="O58" s="966" t="b">
        <f>IF(Lehmputz!$B41&gt;0,Lehmputz!X41)</f>
        <v>0</v>
      </c>
      <c r="P58" s="783"/>
    </row>
    <row r="59" spans="5:16" ht="12.75" customHeight="1" x14ac:dyDescent="0.2">
      <c r="E59" s="956" t="b">
        <f>IF(Lehmputz!$B42&gt;0,Lehmputz!B42)</f>
        <v>0</v>
      </c>
      <c r="F59" s="956" t="b">
        <f>IF(Lehmputz!$B42&gt;0,Lehmputz!C42)</f>
        <v>0</v>
      </c>
      <c r="G59" s="956" t="b">
        <f>IF(Lehmputz!$B42&gt;0,Lehmputz!D42)</f>
        <v>0</v>
      </c>
      <c r="H59" s="966" t="b">
        <f>IF(Lehmputz!$B42&gt;0,Lehmputz!E42)</f>
        <v>0</v>
      </c>
      <c r="I59" s="966" t="b">
        <f>IF(Lehmputz!$B42&gt;0,Lehmputz!F42)</f>
        <v>0</v>
      </c>
      <c r="J59" s="966" t="b">
        <f>IF(Lehmputz!$B42&gt;0,Lehmputz!G42)</f>
        <v>0</v>
      </c>
      <c r="K59" s="955"/>
      <c r="L59" s="955"/>
      <c r="M59" s="1042" t="b">
        <f>IF(Lehmputz!$B42&gt;0,Lehmputz!J42)</f>
        <v>0</v>
      </c>
      <c r="N59" s="1045" t="b">
        <f>IF(Lehmputz!$B42&gt;0,Lehmputz!W42)</f>
        <v>0</v>
      </c>
      <c r="O59" s="966" t="b">
        <f>IF(Lehmputz!$B42&gt;0,Lehmputz!X42)</f>
        <v>0</v>
      </c>
      <c r="P59" s="783"/>
    </row>
    <row r="60" spans="5:16" ht="12.75" customHeight="1" x14ac:dyDescent="0.2">
      <c r="E60" s="956" t="b">
        <f>IF(Lehmputz!$B43&gt;0,Lehmputz!B43)</f>
        <v>0</v>
      </c>
      <c r="F60" s="956" t="b">
        <f>IF(Lehmputz!$B43&gt;0,Lehmputz!C43)</f>
        <v>0</v>
      </c>
      <c r="G60" s="956" t="b">
        <f>IF(Lehmputz!$B43&gt;0,Lehmputz!D43)</f>
        <v>0</v>
      </c>
      <c r="H60" s="966" t="b">
        <f>IF(Lehmputz!$B43&gt;0,Lehmputz!E43)</f>
        <v>0</v>
      </c>
      <c r="I60" s="966" t="b">
        <f>IF(Lehmputz!$B43&gt;0,Lehmputz!F43)</f>
        <v>0</v>
      </c>
      <c r="J60" s="966" t="b">
        <f>IF(Lehmputz!$B43&gt;0,Lehmputz!G43)</f>
        <v>0</v>
      </c>
      <c r="K60" s="955"/>
      <c r="L60" s="955"/>
      <c r="M60" s="1042" t="b">
        <f>IF(Lehmputz!$B43&gt;0,Lehmputz!J43)</f>
        <v>0</v>
      </c>
      <c r="N60" s="1045" t="b">
        <f>IF(Lehmputz!$B43&gt;0,Lehmputz!W43)</f>
        <v>0</v>
      </c>
      <c r="O60" s="966" t="b">
        <f>IF(Lehmputz!$B43&gt;0,Lehmputz!X43)</f>
        <v>0</v>
      </c>
      <c r="P60" s="783"/>
    </row>
    <row r="61" spans="5:16" ht="12.75" customHeight="1" x14ac:dyDescent="0.2">
      <c r="E61" s="956" t="b">
        <f>IF(Lehmputz!$B44&gt;0,Lehmputz!B44)</f>
        <v>0</v>
      </c>
      <c r="F61" s="956" t="b">
        <f>IF(Lehmputz!$B44&gt;0,Lehmputz!C44)</f>
        <v>0</v>
      </c>
      <c r="G61" s="956" t="b">
        <f>IF(Lehmputz!$B44&gt;0,Lehmputz!D44)</f>
        <v>0</v>
      </c>
      <c r="H61" s="966" t="b">
        <f>IF(Lehmputz!$B44&gt;0,Lehmputz!E44)</f>
        <v>0</v>
      </c>
      <c r="I61" s="966" t="b">
        <f>IF(Lehmputz!$B44&gt;0,Lehmputz!F44)</f>
        <v>0</v>
      </c>
      <c r="J61" s="966" t="b">
        <f>IF(Lehmputz!$B44&gt;0,Lehmputz!G44)</f>
        <v>0</v>
      </c>
      <c r="K61" s="955"/>
      <c r="L61" s="955"/>
      <c r="M61" s="1042" t="b">
        <f>IF(Lehmputz!$B44&gt;0,Lehmputz!J44)</f>
        <v>0</v>
      </c>
      <c r="N61" s="1045" t="b">
        <f>IF(Lehmputz!$B44&gt;0,Lehmputz!W44)</f>
        <v>0</v>
      </c>
      <c r="O61" s="966" t="b">
        <f>IF(Lehmputz!$B44&gt;0,Lehmputz!X44)</f>
        <v>0</v>
      </c>
      <c r="P61" s="783"/>
    </row>
    <row r="62" spans="5:16" ht="12.75" customHeight="1" x14ac:dyDescent="0.2">
      <c r="E62" s="956" t="b">
        <f>IF(Lehmputz!$B45&gt;0,Lehmputz!B45)</f>
        <v>0</v>
      </c>
      <c r="F62" s="956" t="b">
        <f>IF(Lehmputz!$B45&gt;0,Lehmputz!C45)</f>
        <v>0</v>
      </c>
      <c r="G62" s="956" t="b">
        <f>IF(Lehmputz!$B45&gt;0,Lehmputz!D45)</f>
        <v>0</v>
      </c>
      <c r="H62" s="966" t="b">
        <f>IF(Lehmputz!$B45&gt;0,Lehmputz!E45)</f>
        <v>0</v>
      </c>
      <c r="I62" s="966" t="b">
        <f>IF(Lehmputz!$B45&gt;0,Lehmputz!F45)</f>
        <v>0</v>
      </c>
      <c r="J62" s="966" t="b">
        <f>IF(Lehmputz!$B45&gt;0,Lehmputz!G45)</f>
        <v>0</v>
      </c>
      <c r="K62" s="955"/>
      <c r="L62" s="955"/>
      <c r="M62" s="1042" t="b">
        <f>IF(Lehmputz!$B45&gt;0,Lehmputz!J45)</f>
        <v>0</v>
      </c>
      <c r="N62" s="1045" t="b">
        <f>IF(Lehmputz!$B45&gt;0,Lehmputz!W45)</f>
        <v>0</v>
      </c>
      <c r="O62" s="966" t="b">
        <f>IF(Lehmputz!$B45&gt;0,Lehmputz!X45)</f>
        <v>0</v>
      </c>
      <c r="P62" s="783"/>
    </row>
    <row r="63" spans="5:16" ht="12.75" customHeight="1" x14ac:dyDescent="0.2">
      <c r="E63" s="956" t="b">
        <f>IF(Lehmputz!$B46&gt;0,Lehmputz!B46)</f>
        <v>0</v>
      </c>
      <c r="F63" s="956" t="b">
        <f>IF(Lehmputz!$B46&gt;0,Lehmputz!C46)</f>
        <v>0</v>
      </c>
      <c r="G63" s="956" t="b">
        <f>IF(Lehmputz!$B46&gt;0,Lehmputz!D46)</f>
        <v>0</v>
      </c>
      <c r="H63" s="966" t="b">
        <f>IF(Lehmputz!$B46&gt;0,Lehmputz!E46)</f>
        <v>0</v>
      </c>
      <c r="I63" s="966" t="b">
        <f>IF(Lehmputz!$B46&gt;0,Lehmputz!F46)</f>
        <v>0</v>
      </c>
      <c r="J63" s="966" t="b">
        <f>IF(Lehmputz!$B46&gt;0,Lehmputz!G46)</f>
        <v>0</v>
      </c>
      <c r="K63" s="955"/>
      <c r="L63" s="955"/>
      <c r="M63" s="1042" t="b">
        <f>IF(Lehmputz!$B46&gt;0,Lehmputz!J46)</f>
        <v>0</v>
      </c>
      <c r="N63" s="1045" t="b">
        <f>IF(Lehmputz!$B46&gt;0,Lehmputz!W46)</f>
        <v>0</v>
      </c>
      <c r="O63" s="966" t="b">
        <f>IF(Lehmputz!$B46&gt;0,Lehmputz!X46)</f>
        <v>0</v>
      </c>
      <c r="P63" s="783"/>
    </row>
    <row r="64" spans="5:16" ht="12.75" customHeight="1" x14ac:dyDescent="0.2">
      <c r="E64" s="956" t="b">
        <f>IF(Lehmputz!$B47&gt;0,Lehmputz!B47)</f>
        <v>0</v>
      </c>
      <c r="F64" s="956" t="b">
        <f>IF(Lehmputz!$B47&gt;0,Lehmputz!C47)</f>
        <v>0</v>
      </c>
      <c r="G64" s="956" t="b">
        <f>IF(Lehmputz!$B47&gt;0,Lehmputz!D47)</f>
        <v>0</v>
      </c>
      <c r="H64" s="966" t="b">
        <f>IF(Lehmputz!$B47&gt;0,Lehmputz!E47)</f>
        <v>0</v>
      </c>
      <c r="I64" s="966" t="b">
        <f>IF(Lehmputz!$B47&gt;0,Lehmputz!F47)</f>
        <v>0</v>
      </c>
      <c r="J64" s="966" t="b">
        <f>IF(Lehmputz!$B47&gt;0,Lehmputz!G47)</f>
        <v>0</v>
      </c>
      <c r="K64" s="955"/>
      <c r="L64" s="955"/>
      <c r="M64" s="1042" t="b">
        <f>IF(Lehmputz!$B47&gt;0,Lehmputz!J47)</f>
        <v>0</v>
      </c>
      <c r="N64" s="1045" t="b">
        <f>IF(Lehmputz!$B47&gt;0,Lehmputz!W47)</f>
        <v>0</v>
      </c>
      <c r="O64" s="966" t="b">
        <f>IF(Lehmputz!$B47&gt;0,Lehmputz!X47)</f>
        <v>0</v>
      </c>
      <c r="P64" s="783"/>
    </row>
    <row r="65" spans="5:16" ht="12.75" customHeight="1" x14ac:dyDescent="0.2">
      <c r="E65" s="956" t="b">
        <f>IF(Lehmputz!$B48&gt;0,Lehmputz!B48)</f>
        <v>0</v>
      </c>
      <c r="F65" s="956" t="b">
        <f>IF(Lehmputz!$B48&gt;0,Lehmputz!C48)</f>
        <v>0</v>
      </c>
      <c r="G65" s="956" t="b">
        <f>IF(Lehmputz!$B48&gt;0,Lehmputz!D48)</f>
        <v>0</v>
      </c>
      <c r="H65" s="966" t="b">
        <f>IF(Lehmputz!$B48&gt;0,Lehmputz!E48)</f>
        <v>0</v>
      </c>
      <c r="I65" s="966" t="b">
        <f>IF(Lehmputz!$B48&gt;0,Lehmputz!F48)</f>
        <v>0</v>
      </c>
      <c r="J65" s="966" t="b">
        <f>IF(Lehmputz!$B48&gt;0,Lehmputz!G48)</f>
        <v>0</v>
      </c>
      <c r="K65" s="955"/>
      <c r="L65" s="955"/>
      <c r="M65" s="1042" t="b">
        <f>IF(Lehmputz!$B48&gt;0,Lehmputz!J48)</f>
        <v>0</v>
      </c>
      <c r="N65" s="1045" t="b">
        <f>IF(Lehmputz!$B48&gt;0,Lehmputz!W48)</f>
        <v>0</v>
      </c>
      <c r="O65" s="966" t="b">
        <f>IF(Lehmputz!$B48&gt;0,Lehmputz!X48)</f>
        <v>0</v>
      </c>
      <c r="P65" s="783"/>
    </row>
    <row r="66" spans="5:16" ht="12.75" customHeight="1" x14ac:dyDescent="0.2">
      <c r="E66" s="956" t="b">
        <f>IF(Lehmputz!$B49&gt;0,Lehmputz!B49)</f>
        <v>0</v>
      </c>
      <c r="F66" s="956" t="b">
        <f>IF(Lehmputz!$B49&gt;0,Lehmputz!C49)</f>
        <v>0</v>
      </c>
      <c r="G66" s="956" t="b">
        <f>IF(Lehmputz!$B49&gt;0,Lehmputz!D49)</f>
        <v>0</v>
      </c>
      <c r="H66" s="966" t="b">
        <f>IF(Lehmputz!$B49&gt;0,Lehmputz!E49)</f>
        <v>0</v>
      </c>
      <c r="I66" s="966" t="b">
        <f>IF(Lehmputz!$B49&gt;0,Lehmputz!F49)</f>
        <v>0</v>
      </c>
      <c r="J66" s="966" t="b">
        <f>IF(Lehmputz!$B49&gt;0,Lehmputz!G49)</f>
        <v>0</v>
      </c>
      <c r="K66" s="955"/>
      <c r="L66" s="955"/>
      <c r="M66" s="1042" t="b">
        <f>IF(Lehmputz!$B49&gt;0,Lehmputz!J49)</f>
        <v>0</v>
      </c>
      <c r="N66" s="1045" t="b">
        <f>IF(Lehmputz!$B49&gt;0,Lehmputz!W49)</f>
        <v>0</v>
      </c>
      <c r="O66" s="966" t="b">
        <f>IF(Lehmputz!$B49&gt;0,Lehmputz!X49)</f>
        <v>0</v>
      </c>
      <c r="P66" s="783"/>
    </row>
    <row r="67" spans="5:16" ht="12.75" customHeight="1" x14ac:dyDescent="0.2">
      <c r="E67" s="956" t="b">
        <f>IF(Lehmputz!$B50&gt;0,Lehmputz!B50)</f>
        <v>0</v>
      </c>
      <c r="F67" s="956" t="b">
        <f>IF(Lehmputz!$B50&gt;0,Lehmputz!C50)</f>
        <v>0</v>
      </c>
      <c r="G67" s="956" t="b">
        <f>IF(Lehmputz!$B50&gt;0,Lehmputz!D50)</f>
        <v>0</v>
      </c>
      <c r="H67" s="966" t="b">
        <f>IF(Lehmputz!$B50&gt;0,Lehmputz!E50)</f>
        <v>0</v>
      </c>
      <c r="I67" s="966" t="b">
        <f>IF(Lehmputz!$B50&gt;0,Lehmputz!F50)</f>
        <v>0</v>
      </c>
      <c r="J67" s="966" t="b">
        <f>IF(Lehmputz!$B50&gt;0,Lehmputz!G50)</f>
        <v>0</v>
      </c>
      <c r="K67" s="955"/>
      <c r="L67" s="955"/>
      <c r="M67" s="1042" t="b">
        <f>IF(Lehmputz!$B50&gt;0,Lehmputz!J50)</f>
        <v>0</v>
      </c>
      <c r="N67" s="1045" t="b">
        <f>IF(Lehmputz!$B50&gt;0,Lehmputz!W50)</f>
        <v>0</v>
      </c>
      <c r="O67" s="966" t="b">
        <f>IF(Lehmputz!$B50&gt;0,Lehmputz!X50)</f>
        <v>0</v>
      </c>
      <c r="P67" s="783"/>
    </row>
    <row r="68" spans="5:16" ht="12.75" customHeight="1" x14ac:dyDescent="0.2">
      <c r="E68" s="956" t="b">
        <f>IF(Lehmputz!$B51&gt;0,Lehmputz!B51)</f>
        <v>0</v>
      </c>
      <c r="F68" s="956" t="b">
        <f>IF(Lehmputz!$B51&gt;0,Lehmputz!C51)</f>
        <v>0</v>
      </c>
      <c r="G68" s="956" t="b">
        <f>IF(Lehmputz!$B51&gt;0,Lehmputz!D51)</f>
        <v>0</v>
      </c>
      <c r="H68" s="966" t="b">
        <f>IF(Lehmputz!$B51&gt;0,Lehmputz!E51)</f>
        <v>0</v>
      </c>
      <c r="I68" s="966" t="b">
        <f>IF(Lehmputz!$B51&gt;0,Lehmputz!F51)</f>
        <v>0</v>
      </c>
      <c r="J68" s="966" t="b">
        <f>IF(Lehmputz!$B51&gt;0,Lehmputz!G51)</f>
        <v>0</v>
      </c>
      <c r="K68" s="955"/>
      <c r="L68" s="955"/>
      <c r="M68" s="1042" t="b">
        <f>IF(Lehmputz!$B51&gt;0,Lehmputz!J51)</f>
        <v>0</v>
      </c>
      <c r="N68" s="1045" t="b">
        <f>IF(Lehmputz!$B51&gt;0,Lehmputz!W51)</f>
        <v>0</v>
      </c>
      <c r="O68" s="966" t="b">
        <f>IF(Lehmputz!$B51&gt;0,Lehmputz!X51)</f>
        <v>0</v>
      </c>
      <c r="P68" s="783"/>
    </row>
    <row r="69" spans="5:16" ht="12.75" customHeight="1" x14ac:dyDescent="0.2">
      <c r="E69" s="956" t="b">
        <f>IF(Lehmputz!$B52&gt;0,Lehmputz!B52)</f>
        <v>0</v>
      </c>
      <c r="F69" s="956" t="b">
        <f>IF(Lehmputz!$B52&gt;0,Lehmputz!C52)</f>
        <v>0</v>
      </c>
      <c r="G69" s="956" t="b">
        <f>IF(Lehmputz!$B52&gt;0,Lehmputz!D52)</f>
        <v>0</v>
      </c>
      <c r="H69" s="966" t="b">
        <f>IF(Lehmputz!$B52&gt;0,Lehmputz!E52)</f>
        <v>0</v>
      </c>
      <c r="I69" s="966" t="b">
        <f>IF(Lehmputz!$B52&gt;0,Lehmputz!F52)</f>
        <v>0</v>
      </c>
      <c r="J69" s="966" t="b">
        <f>IF(Lehmputz!$B52&gt;0,Lehmputz!G52)</f>
        <v>0</v>
      </c>
      <c r="K69" s="955"/>
      <c r="L69" s="955"/>
      <c r="M69" s="1042" t="b">
        <f>IF(Lehmputz!$B52&gt;0,Lehmputz!J52)</f>
        <v>0</v>
      </c>
      <c r="N69" s="1045" t="b">
        <f>IF(Lehmputz!$B52&gt;0,Lehmputz!W52)</f>
        <v>0</v>
      </c>
      <c r="O69" s="966" t="b">
        <f>IF(Lehmputz!$B52&gt;0,Lehmputz!X52)</f>
        <v>0</v>
      </c>
      <c r="P69" s="783"/>
    </row>
    <row r="70" spans="5:16" ht="12.75" customHeight="1" x14ac:dyDescent="0.2">
      <c r="E70" s="956" t="b">
        <f>IF(Lehmputz!$B53&gt;0,Lehmputz!B53)</f>
        <v>0</v>
      </c>
      <c r="F70" s="956" t="b">
        <f>IF(Lehmputz!$B53&gt;0,Lehmputz!C53)</f>
        <v>0</v>
      </c>
      <c r="G70" s="956" t="b">
        <f>IF(Lehmputz!$B53&gt;0,Lehmputz!D53)</f>
        <v>0</v>
      </c>
      <c r="H70" s="966" t="b">
        <f>IF(Lehmputz!$B53&gt;0,Lehmputz!E53)</f>
        <v>0</v>
      </c>
      <c r="I70" s="966" t="b">
        <f>IF(Lehmputz!$B53&gt;0,Lehmputz!F53)</f>
        <v>0</v>
      </c>
      <c r="J70" s="966" t="b">
        <f>IF(Lehmputz!$B53&gt;0,Lehmputz!G53)</f>
        <v>0</v>
      </c>
      <c r="K70" s="955"/>
      <c r="L70" s="955"/>
      <c r="M70" s="1042" t="b">
        <f>IF(Lehmputz!$B53&gt;0,Lehmputz!J53)</f>
        <v>0</v>
      </c>
      <c r="N70" s="1045" t="b">
        <f>IF(Lehmputz!$B53&gt;0,Lehmputz!W53)</f>
        <v>0</v>
      </c>
      <c r="O70" s="966" t="b">
        <f>IF(Lehmputz!$B53&gt;0,Lehmputz!X53)</f>
        <v>0</v>
      </c>
      <c r="P70" s="783"/>
    </row>
    <row r="71" spans="5:16" ht="12.75" customHeight="1" x14ac:dyDescent="0.2">
      <c r="E71" s="1037" t="b">
        <f>IF(Lehmputz!$B54&gt;0,Lehmputz!B54)</f>
        <v>0</v>
      </c>
      <c r="F71" s="956" t="b">
        <f>IF(Lehmputz!$B54&gt;0,Lehmputz!C54)</f>
        <v>0</v>
      </c>
      <c r="G71" s="956" t="b">
        <f>IF(Lehmputz!$B54&gt;0,Lehmputz!D54)</f>
        <v>0</v>
      </c>
      <c r="H71" s="966" t="b">
        <f>IF(Lehmputz!$B54&gt;0,Lehmputz!E54)</f>
        <v>0</v>
      </c>
      <c r="I71" s="966" t="b">
        <f>IF(Lehmputz!$B54&gt;0,Lehmputz!F54)</f>
        <v>0</v>
      </c>
      <c r="J71" s="966" t="b">
        <f>IF(Lehmputz!$B54&gt;0,Lehmputz!G54)</f>
        <v>0</v>
      </c>
      <c r="K71" s="955"/>
      <c r="L71" s="955"/>
      <c r="M71" s="1042" t="b">
        <f>IF(Lehmputz!$B54&gt;0,Lehmputz!J54)</f>
        <v>0</v>
      </c>
      <c r="N71" s="1045" t="b">
        <f>IF(Lehmputz!$B54&gt;0,Lehmputz!W54)</f>
        <v>0</v>
      </c>
      <c r="O71" s="966" t="b">
        <f>IF(Lehmputz!$B54&gt;0,Lehmputz!X54)</f>
        <v>0</v>
      </c>
      <c r="P71" s="783"/>
    </row>
    <row r="72" spans="5:16" ht="12.75" customHeight="1" x14ac:dyDescent="0.2">
      <c r="E72" s="956" t="b">
        <f>IF('LBP Beplank.'!$B9&gt;0,'LBP Beplank.'!B9)</f>
        <v>0</v>
      </c>
      <c r="F72" s="956" t="b">
        <f>IF('LBP Beplank.'!$B9&gt;0,'LBP Beplank.'!C9)</f>
        <v>0</v>
      </c>
      <c r="G72" s="956" t="b">
        <f>IF('LBP Beplank.'!$B9&gt;0,'LBP Beplank.'!D9)</f>
        <v>0</v>
      </c>
      <c r="H72" s="966" t="b">
        <f>IF('LBP Beplank.'!$B9&gt;0,'LBP Beplank.'!E9)</f>
        <v>0</v>
      </c>
      <c r="I72" s="966" t="b">
        <f>IF('LBP Beplank.'!$B9&gt;0,'LBP Beplank.'!F9)</f>
        <v>0</v>
      </c>
      <c r="J72" s="966" t="b">
        <f>IF('LBP Beplank.'!$B9&gt;0,'LBP Beplank.'!G9)</f>
        <v>0</v>
      </c>
      <c r="K72" s="955"/>
      <c r="L72" s="955"/>
      <c r="M72" s="1042" t="b">
        <f>IF('LBP Beplank.'!$B9&gt;0,'LBP Beplank.'!I9)</f>
        <v>0</v>
      </c>
      <c r="N72" s="1045" t="b">
        <f>IF('LBP Beplank.'!$B9&gt;0,'LBP Beplank.'!V9)</f>
        <v>0</v>
      </c>
      <c r="O72" s="966" t="b">
        <f>IF('LBP Beplank.'!$B9&gt;0,'LBP Beplank.'!W9)</f>
        <v>0</v>
      </c>
      <c r="P72" s="783"/>
    </row>
    <row r="73" spans="5:16" ht="12.75" customHeight="1" x14ac:dyDescent="0.2">
      <c r="E73" s="956" t="b">
        <f>IF('LBP Beplank.'!$B10&gt;0,'LBP Beplank.'!B10)</f>
        <v>0</v>
      </c>
      <c r="F73" s="956" t="b">
        <f>IF('LBP Beplank.'!$B10&gt;0,'LBP Beplank.'!C10)</f>
        <v>0</v>
      </c>
      <c r="G73" s="956" t="b">
        <f>IF('LBP Beplank.'!$B10&gt;0,'LBP Beplank.'!D10)</f>
        <v>0</v>
      </c>
      <c r="H73" s="966" t="b">
        <f>IF('LBP Beplank.'!$B10&gt;0,'LBP Beplank.'!E10)</f>
        <v>0</v>
      </c>
      <c r="I73" s="966" t="b">
        <f>IF('LBP Beplank.'!$B10&gt;0,'LBP Beplank.'!F10)</f>
        <v>0</v>
      </c>
      <c r="J73" s="966" t="b">
        <f>IF('LBP Beplank.'!$B10&gt;0,'LBP Beplank.'!G10)</f>
        <v>0</v>
      </c>
      <c r="K73" s="955"/>
      <c r="L73" s="955"/>
      <c r="M73" s="1042" t="b">
        <f>IF('LBP Beplank.'!$B10&gt;0,'LBP Beplank.'!I10)</f>
        <v>0</v>
      </c>
      <c r="N73" s="1045" t="b">
        <f>IF('LBP Beplank.'!$B10&gt;0,'LBP Beplank.'!V10)</f>
        <v>0</v>
      </c>
      <c r="O73" s="966" t="b">
        <f>IF('LBP Beplank.'!$B10&gt;0,'LBP Beplank.'!W10)</f>
        <v>0</v>
      </c>
      <c r="P73" s="783"/>
    </row>
    <row r="74" spans="5:16" ht="12.75" customHeight="1" x14ac:dyDescent="0.2">
      <c r="E74" s="956" t="b">
        <f>IF('LBP Beplank.'!$B11&gt;0,'LBP Beplank.'!B11)</f>
        <v>0</v>
      </c>
      <c r="F74" s="956" t="b">
        <f>IF('LBP Beplank.'!$B11&gt;0,'LBP Beplank.'!C11)</f>
        <v>0</v>
      </c>
      <c r="G74" s="956" t="b">
        <f>IF('LBP Beplank.'!$B11&gt;0,'LBP Beplank.'!D11)</f>
        <v>0</v>
      </c>
      <c r="H74" s="966" t="b">
        <f>IF('LBP Beplank.'!$B11&gt;0,'LBP Beplank.'!E11)</f>
        <v>0</v>
      </c>
      <c r="I74" s="966" t="b">
        <f>IF('LBP Beplank.'!$B11&gt;0,'LBP Beplank.'!F11)</f>
        <v>0</v>
      </c>
      <c r="J74" s="966" t="b">
        <f>IF('LBP Beplank.'!$B11&gt;0,'LBP Beplank.'!G11)</f>
        <v>0</v>
      </c>
      <c r="K74" s="955"/>
      <c r="L74" s="955"/>
      <c r="M74" s="1042" t="b">
        <f>IF('LBP Beplank.'!$B11&gt;0,'LBP Beplank.'!I11)</f>
        <v>0</v>
      </c>
      <c r="N74" s="1045" t="b">
        <f>IF('LBP Beplank.'!$B11&gt;0,'LBP Beplank.'!V11)</f>
        <v>0</v>
      </c>
      <c r="O74" s="966" t="b">
        <f>IF('LBP Beplank.'!$B11&gt;0,'LBP Beplank.'!W11)</f>
        <v>0</v>
      </c>
      <c r="P74" s="783"/>
    </row>
    <row r="75" spans="5:16" ht="12.75" customHeight="1" x14ac:dyDescent="0.2">
      <c r="E75" s="956" t="b">
        <f>IF('LBP Beplank.'!$B12&gt;0,'LBP Beplank.'!B12)</f>
        <v>0</v>
      </c>
      <c r="F75" s="956" t="b">
        <f>IF('LBP Beplank.'!$B12&gt;0,'LBP Beplank.'!C12)</f>
        <v>0</v>
      </c>
      <c r="G75" s="956" t="b">
        <f>IF('LBP Beplank.'!$B12&gt;0,'LBP Beplank.'!D12)</f>
        <v>0</v>
      </c>
      <c r="H75" s="966" t="b">
        <f>IF('LBP Beplank.'!$B12&gt;0,'LBP Beplank.'!E12)</f>
        <v>0</v>
      </c>
      <c r="I75" s="966" t="b">
        <f>IF('LBP Beplank.'!$B12&gt;0,'LBP Beplank.'!F12)</f>
        <v>0</v>
      </c>
      <c r="J75" s="966" t="b">
        <f>IF('LBP Beplank.'!$B12&gt;0,'LBP Beplank.'!G12)</f>
        <v>0</v>
      </c>
      <c r="K75" s="955"/>
      <c r="L75" s="955"/>
      <c r="M75" s="1042" t="b">
        <f>IF('LBP Beplank.'!$B12&gt;0,'LBP Beplank.'!I12)</f>
        <v>0</v>
      </c>
      <c r="N75" s="1045" t="b">
        <f>IF('LBP Beplank.'!$B12&gt;0,'LBP Beplank.'!V12)</f>
        <v>0</v>
      </c>
      <c r="O75" s="966" t="b">
        <f>IF('LBP Beplank.'!$B12&gt;0,'LBP Beplank.'!W12)</f>
        <v>0</v>
      </c>
      <c r="P75" s="783"/>
    </row>
    <row r="76" spans="5:16" ht="12.75" customHeight="1" x14ac:dyDescent="0.2">
      <c r="E76" s="956" t="b">
        <f>IF('LBP Beplank.'!$B13&gt;0,'LBP Beplank.'!B13)</f>
        <v>0</v>
      </c>
      <c r="F76" s="956" t="b">
        <f>IF('LBP Beplank.'!$B13&gt;0,'LBP Beplank.'!C13)</f>
        <v>0</v>
      </c>
      <c r="G76" s="956" t="b">
        <f>IF('LBP Beplank.'!$B13&gt;0,'LBP Beplank.'!D13)</f>
        <v>0</v>
      </c>
      <c r="H76" s="966" t="b">
        <f>IF('LBP Beplank.'!$B13&gt;0,'LBP Beplank.'!E13)</f>
        <v>0</v>
      </c>
      <c r="I76" s="966" t="b">
        <f>IF('LBP Beplank.'!$B13&gt;0,'LBP Beplank.'!F13)</f>
        <v>0</v>
      </c>
      <c r="J76" s="966" t="b">
        <f>IF('LBP Beplank.'!$B13&gt;0,'LBP Beplank.'!G13)</f>
        <v>0</v>
      </c>
      <c r="K76" s="955"/>
      <c r="L76" s="955"/>
      <c r="M76" s="1042" t="b">
        <f>IF('LBP Beplank.'!$B13&gt;0,'LBP Beplank.'!I13)</f>
        <v>0</v>
      </c>
      <c r="N76" s="1045" t="b">
        <f>IF('LBP Beplank.'!$B13&gt;0,'LBP Beplank.'!V13)</f>
        <v>0</v>
      </c>
      <c r="O76" s="966" t="b">
        <f>IF('LBP Beplank.'!$B13&gt;0,'LBP Beplank.'!W13)</f>
        <v>0</v>
      </c>
      <c r="P76" s="783"/>
    </row>
    <row r="77" spans="5:16" ht="12.75" customHeight="1" x14ac:dyDescent="0.2">
      <c r="E77" s="956" t="b">
        <f>IF('LBP Beplank.'!$B14&gt;0,'LBP Beplank.'!B14)</f>
        <v>0</v>
      </c>
      <c r="F77" s="956" t="b">
        <f>IF('LBP Beplank.'!$B14&gt;0,'LBP Beplank.'!C14)</f>
        <v>0</v>
      </c>
      <c r="G77" s="956" t="b">
        <f>IF('LBP Beplank.'!$B14&gt;0,'LBP Beplank.'!D14)</f>
        <v>0</v>
      </c>
      <c r="H77" s="966" t="b">
        <f>IF('LBP Beplank.'!$B14&gt;0,'LBP Beplank.'!E14)</f>
        <v>0</v>
      </c>
      <c r="I77" s="966" t="b">
        <f>IF('LBP Beplank.'!$B14&gt;0,'LBP Beplank.'!F14)</f>
        <v>0</v>
      </c>
      <c r="J77" s="966" t="b">
        <f>IF('LBP Beplank.'!$B14&gt;0,'LBP Beplank.'!G14)</f>
        <v>0</v>
      </c>
      <c r="K77" s="955"/>
      <c r="L77" s="955"/>
      <c r="M77" s="1042" t="b">
        <f>IF('LBP Beplank.'!$B14&gt;0,'LBP Beplank.'!I14)</f>
        <v>0</v>
      </c>
      <c r="N77" s="1045" t="b">
        <f>IF('LBP Beplank.'!$B14&gt;0,'LBP Beplank.'!V14)</f>
        <v>0</v>
      </c>
      <c r="O77" s="966" t="b">
        <f>IF('LBP Beplank.'!$B14&gt;0,'LBP Beplank.'!W14)</f>
        <v>0</v>
      </c>
      <c r="P77" s="783"/>
    </row>
    <row r="78" spans="5:16" ht="12.75" customHeight="1" x14ac:dyDescent="0.2">
      <c r="E78" s="956" t="b">
        <f>IF('LBP Beplank.'!$B15&gt;0,'LBP Beplank.'!B15)</f>
        <v>0</v>
      </c>
      <c r="F78" s="956" t="b">
        <f>IF('LBP Beplank.'!$B15&gt;0,'LBP Beplank.'!C15)</f>
        <v>0</v>
      </c>
      <c r="G78" s="956" t="b">
        <f>IF('LBP Beplank.'!$B15&gt;0,'LBP Beplank.'!D15)</f>
        <v>0</v>
      </c>
      <c r="H78" s="966" t="b">
        <f>IF('LBP Beplank.'!$B15&gt;0,'LBP Beplank.'!E15)</f>
        <v>0</v>
      </c>
      <c r="I78" s="966" t="b">
        <f>IF('LBP Beplank.'!$B15&gt;0,'LBP Beplank.'!F15)</f>
        <v>0</v>
      </c>
      <c r="J78" s="966" t="b">
        <f>IF('LBP Beplank.'!$B15&gt;0,'LBP Beplank.'!G15)</f>
        <v>0</v>
      </c>
      <c r="K78" s="955"/>
      <c r="L78" s="955"/>
      <c r="M78" s="1042" t="b">
        <f>IF('LBP Beplank.'!$B15&gt;0,'LBP Beplank.'!I15)</f>
        <v>0</v>
      </c>
      <c r="N78" s="1045" t="b">
        <f>IF('LBP Beplank.'!$B15&gt;0,'LBP Beplank.'!V15)</f>
        <v>0</v>
      </c>
      <c r="O78" s="966" t="b">
        <f>IF('LBP Beplank.'!$B15&gt;0,'LBP Beplank.'!W15)</f>
        <v>0</v>
      </c>
      <c r="P78" s="783"/>
    </row>
    <row r="79" spans="5:16" ht="12.75" customHeight="1" x14ac:dyDescent="0.2">
      <c r="E79" s="956" t="b">
        <f>IF('LBP Beplank.'!$B16&gt;0,'LBP Beplank.'!B16)</f>
        <v>0</v>
      </c>
      <c r="F79" s="956" t="b">
        <f>IF('LBP Beplank.'!$B16&gt;0,'LBP Beplank.'!C16)</f>
        <v>0</v>
      </c>
      <c r="G79" s="956" t="b">
        <f>IF('LBP Beplank.'!$B16&gt;0,'LBP Beplank.'!D16)</f>
        <v>0</v>
      </c>
      <c r="H79" s="966" t="b">
        <f>IF('LBP Beplank.'!$B16&gt;0,'LBP Beplank.'!E16)</f>
        <v>0</v>
      </c>
      <c r="I79" s="966" t="b">
        <f>IF('LBP Beplank.'!$B16&gt;0,'LBP Beplank.'!F16)</f>
        <v>0</v>
      </c>
      <c r="J79" s="966" t="b">
        <f>IF('LBP Beplank.'!$B16&gt;0,'LBP Beplank.'!G16)</f>
        <v>0</v>
      </c>
      <c r="K79" s="955"/>
      <c r="L79" s="955"/>
      <c r="M79" s="1042" t="b">
        <f>IF('LBP Beplank.'!$B16&gt;0,'LBP Beplank.'!I16)</f>
        <v>0</v>
      </c>
      <c r="N79" s="1045" t="b">
        <f>IF('LBP Beplank.'!$B16&gt;0,'LBP Beplank.'!V16)</f>
        <v>0</v>
      </c>
      <c r="O79" s="966" t="b">
        <f>IF('LBP Beplank.'!$B16&gt;0,'LBP Beplank.'!W16)</f>
        <v>0</v>
      </c>
      <c r="P79" s="783"/>
    </row>
    <row r="80" spans="5:16" ht="12.75" customHeight="1" x14ac:dyDescent="0.2">
      <c r="E80" s="956" t="b">
        <f>IF('LBP Beplank.'!$B17&gt;0,'LBP Beplank.'!B17)</f>
        <v>0</v>
      </c>
      <c r="F80" s="956" t="b">
        <f>IF('LBP Beplank.'!$B17&gt;0,'LBP Beplank.'!C17)</f>
        <v>0</v>
      </c>
      <c r="G80" s="956" t="b">
        <f>IF('LBP Beplank.'!$B17&gt;0,'LBP Beplank.'!D17)</f>
        <v>0</v>
      </c>
      <c r="H80" s="966" t="b">
        <f>IF('LBP Beplank.'!$B17&gt;0,'LBP Beplank.'!E17)</f>
        <v>0</v>
      </c>
      <c r="I80" s="966" t="b">
        <f>IF('LBP Beplank.'!$B17&gt;0,'LBP Beplank.'!F17)</f>
        <v>0</v>
      </c>
      <c r="J80" s="966" t="b">
        <f>IF('LBP Beplank.'!$B17&gt;0,'LBP Beplank.'!G17)</f>
        <v>0</v>
      </c>
      <c r="K80" s="955"/>
      <c r="L80" s="955"/>
      <c r="M80" s="1042" t="b">
        <f>IF('LBP Beplank.'!$B17&gt;0,'LBP Beplank.'!I17)</f>
        <v>0</v>
      </c>
      <c r="N80" s="1045" t="b">
        <f>IF('LBP Beplank.'!$B17&gt;0,'LBP Beplank.'!V17)</f>
        <v>0</v>
      </c>
      <c r="O80" s="966" t="b">
        <f>IF('LBP Beplank.'!$B17&gt;0,'LBP Beplank.'!W17)</f>
        <v>0</v>
      </c>
      <c r="P80" s="783"/>
    </row>
    <row r="81" spans="5:16" ht="12.75" customHeight="1" x14ac:dyDescent="0.2">
      <c r="E81" s="956" t="b">
        <f>IF('LBP Beplank.'!$B18&gt;0,'LBP Beplank.'!B18)</f>
        <v>0</v>
      </c>
      <c r="F81" s="956" t="b">
        <f>IF('LBP Beplank.'!$B18&gt;0,'LBP Beplank.'!C18)</f>
        <v>0</v>
      </c>
      <c r="G81" s="956" t="b">
        <f>IF('LBP Beplank.'!$B18&gt;0,'LBP Beplank.'!D18)</f>
        <v>0</v>
      </c>
      <c r="H81" s="966" t="b">
        <f>IF('LBP Beplank.'!$B18&gt;0,'LBP Beplank.'!E18)</f>
        <v>0</v>
      </c>
      <c r="I81" s="966" t="b">
        <f>IF('LBP Beplank.'!$B18&gt;0,'LBP Beplank.'!F18)</f>
        <v>0</v>
      </c>
      <c r="J81" s="966" t="b">
        <f>IF('LBP Beplank.'!$B18&gt;0,'LBP Beplank.'!G18)</f>
        <v>0</v>
      </c>
      <c r="K81" s="955"/>
      <c r="L81" s="955"/>
      <c r="M81" s="1042" t="b">
        <f>IF('LBP Beplank.'!$B18&gt;0,'LBP Beplank.'!I18)</f>
        <v>0</v>
      </c>
      <c r="N81" s="1045" t="b">
        <f>IF('LBP Beplank.'!$B18&gt;0,'LBP Beplank.'!V18)</f>
        <v>0</v>
      </c>
      <c r="O81" s="966" t="b">
        <f>IF('LBP Beplank.'!$B18&gt;0,'LBP Beplank.'!W18)</f>
        <v>0</v>
      </c>
      <c r="P81" s="783"/>
    </row>
    <row r="82" spans="5:16" ht="12.75" customHeight="1" x14ac:dyDescent="0.2">
      <c r="E82" s="956" t="b">
        <f>IF('LBP Beplank.'!$B19&gt;0,'LBP Beplank.'!B19)</f>
        <v>0</v>
      </c>
      <c r="F82" s="956" t="b">
        <f>IF('LBP Beplank.'!$B19&gt;0,'LBP Beplank.'!C19)</f>
        <v>0</v>
      </c>
      <c r="G82" s="956" t="b">
        <f>IF('LBP Beplank.'!$B19&gt;0,'LBP Beplank.'!D19)</f>
        <v>0</v>
      </c>
      <c r="H82" s="966" t="b">
        <f>IF('LBP Beplank.'!$B19&gt;0,'LBP Beplank.'!E19)</f>
        <v>0</v>
      </c>
      <c r="I82" s="966" t="b">
        <f>IF('LBP Beplank.'!$B19&gt;0,'LBP Beplank.'!F19)</f>
        <v>0</v>
      </c>
      <c r="J82" s="966" t="b">
        <f>IF('LBP Beplank.'!$B19&gt;0,'LBP Beplank.'!G19)</f>
        <v>0</v>
      </c>
      <c r="K82" s="955"/>
      <c r="L82" s="955"/>
      <c r="M82" s="1042" t="b">
        <f>IF('LBP Beplank.'!$B19&gt;0,'LBP Beplank.'!I19)</f>
        <v>0</v>
      </c>
      <c r="N82" s="1045" t="b">
        <f>IF('LBP Beplank.'!$B19&gt;0,'LBP Beplank.'!V19)</f>
        <v>0</v>
      </c>
      <c r="O82" s="966" t="b">
        <f>IF('LBP Beplank.'!$B19&gt;0,'LBP Beplank.'!W19)</f>
        <v>0</v>
      </c>
      <c r="P82" s="783"/>
    </row>
    <row r="83" spans="5:16" ht="12.75" customHeight="1" x14ac:dyDescent="0.2">
      <c r="E83" s="956" t="b">
        <f>IF('LBP Beplank.'!$B20&gt;0,'LBP Beplank.'!B20)</f>
        <v>0</v>
      </c>
      <c r="F83" s="956" t="b">
        <f>IF('LBP Beplank.'!$B20&gt;0,'LBP Beplank.'!C20)</f>
        <v>0</v>
      </c>
      <c r="G83" s="956" t="b">
        <f>IF('LBP Beplank.'!$B20&gt;0,'LBP Beplank.'!D20)</f>
        <v>0</v>
      </c>
      <c r="H83" s="966" t="b">
        <f>IF('LBP Beplank.'!$B20&gt;0,'LBP Beplank.'!E20)</f>
        <v>0</v>
      </c>
      <c r="I83" s="966" t="b">
        <f>IF('LBP Beplank.'!$B20&gt;0,'LBP Beplank.'!F20)</f>
        <v>0</v>
      </c>
      <c r="J83" s="966" t="b">
        <f>IF('LBP Beplank.'!$B20&gt;0,'LBP Beplank.'!G20)</f>
        <v>0</v>
      </c>
      <c r="K83" s="955"/>
      <c r="L83" s="955"/>
      <c r="M83" s="1042" t="b">
        <f>IF('LBP Beplank.'!$B20&gt;0,'LBP Beplank.'!I20)</f>
        <v>0</v>
      </c>
      <c r="N83" s="1045" t="b">
        <f>IF('LBP Beplank.'!$B20&gt;0,'LBP Beplank.'!V20)</f>
        <v>0</v>
      </c>
      <c r="O83" s="966" t="b">
        <f>IF('LBP Beplank.'!$B20&gt;0,'LBP Beplank.'!W20)</f>
        <v>0</v>
      </c>
      <c r="P83" s="783"/>
    </row>
    <row r="84" spans="5:16" ht="12.75" customHeight="1" x14ac:dyDescent="0.2">
      <c r="E84" s="956" t="b">
        <f>IF('LBP Beplank.'!$B21&gt;0,'LBP Beplank.'!B21)</f>
        <v>0</v>
      </c>
      <c r="F84" s="956" t="b">
        <f>IF('LBP Beplank.'!$B21&gt;0,'LBP Beplank.'!C21)</f>
        <v>0</v>
      </c>
      <c r="G84" s="956" t="b">
        <f>IF('LBP Beplank.'!$B21&gt;0,'LBP Beplank.'!D21)</f>
        <v>0</v>
      </c>
      <c r="H84" s="966" t="b">
        <f>IF('LBP Beplank.'!$B21&gt;0,'LBP Beplank.'!E21)</f>
        <v>0</v>
      </c>
      <c r="I84" s="966" t="b">
        <f>IF('LBP Beplank.'!$B21&gt;0,'LBP Beplank.'!F21)</f>
        <v>0</v>
      </c>
      <c r="J84" s="966" t="b">
        <f>IF('LBP Beplank.'!$B21&gt;0,'LBP Beplank.'!G21)</f>
        <v>0</v>
      </c>
      <c r="K84" s="955"/>
      <c r="L84" s="955"/>
      <c r="M84" s="1042" t="b">
        <f>IF('LBP Beplank.'!$B21&gt;0,'LBP Beplank.'!I21)</f>
        <v>0</v>
      </c>
      <c r="N84" s="1045" t="b">
        <f>IF('LBP Beplank.'!$B21&gt;0,'LBP Beplank.'!V21)</f>
        <v>0</v>
      </c>
      <c r="O84" s="966" t="b">
        <f>IF('LBP Beplank.'!$B21&gt;0,'LBP Beplank.'!W21)</f>
        <v>0</v>
      </c>
      <c r="P84" s="783"/>
    </row>
    <row r="85" spans="5:16" ht="12.75" customHeight="1" x14ac:dyDescent="0.2">
      <c r="E85" s="956" t="b">
        <f>IF('LBP Beplank.'!$B22&gt;0,'LBP Beplank.'!B22)</f>
        <v>0</v>
      </c>
      <c r="F85" s="956" t="b">
        <f>IF('LBP Beplank.'!$B22&gt;0,'LBP Beplank.'!C22)</f>
        <v>0</v>
      </c>
      <c r="G85" s="956" t="b">
        <f>IF('LBP Beplank.'!$B22&gt;0,'LBP Beplank.'!D22)</f>
        <v>0</v>
      </c>
      <c r="H85" s="966" t="b">
        <f>IF('LBP Beplank.'!$B22&gt;0,'LBP Beplank.'!E22)</f>
        <v>0</v>
      </c>
      <c r="I85" s="966" t="b">
        <f>IF('LBP Beplank.'!$B22&gt;0,'LBP Beplank.'!F22)</f>
        <v>0</v>
      </c>
      <c r="J85" s="966" t="b">
        <f>IF('LBP Beplank.'!$B22&gt;0,'LBP Beplank.'!G22)</f>
        <v>0</v>
      </c>
      <c r="K85" s="955"/>
      <c r="L85" s="955"/>
      <c r="M85" s="1042" t="b">
        <f>IF('LBP Beplank.'!$B22&gt;0,'LBP Beplank.'!I22)</f>
        <v>0</v>
      </c>
      <c r="N85" s="1045" t="b">
        <f>IF('LBP Beplank.'!$B22&gt;0,'LBP Beplank.'!V22)</f>
        <v>0</v>
      </c>
      <c r="O85" s="966" t="b">
        <f>IF('LBP Beplank.'!$B22&gt;0,'LBP Beplank.'!W22)</f>
        <v>0</v>
      </c>
      <c r="P85" s="783"/>
    </row>
    <row r="86" spans="5:16" ht="12.75" customHeight="1" x14ac:dyDescent="0.2">
      <c r="E86" s="956" t="b">
        <f>IF('LBP Beplank.'!$B23&gt;0,'LBP Beplank.'!B23)</f>
        <v>0</v>
      </c>
      <c r="F86" s="956" t="b">
        <f>IF('LBP Beplank.'!$B23&gt;0,'LBP Beplank.'!C23)</f>
        <v>0</v>
      </c>
      <c r="G86" s="956" t="b">
        <f>IF('LBP Beplank.'!$B23&gt;0,'LBP Beplank.'!D23)</f>
        <v>0</v>
      </c>
      <c r="H86" s="966" t="b">
        <f>IF('LBP Beplank.'!$B23&gt;0,'LBP Beplank.'!E23)</f>
        <v>0</v>
      </c>
      <c r="I86" s="966" t="b">
        <f>IF('LBP Beplank.'!$B23&gt;0,'LBP Beplank.'!F23)</f>
        <v>0</v>
      </c>
      <c r="J86" s="966" t="b">
        <f>IF('LBP Beplank.'!$B23&gt;0,'LBP Beplank.'!G23)</f>
        <v>0</v>
      </c>
      <c r="K86" s="955"/>
      <c r="L86" s="955"/>
      <c r="M86" s="1042" t="b">
        <f>IF('LBP Beplank.'!$B23&gt;0,'LBP Beplank.'!I23)</f>
        <v>0</v>
      </c>
      <c r="N86" s="1045" t="b">
        <f>IF('LBP Beplank.'!$B23&gt;0,'LBP Beplank.'!V23)</f>
        <v>0</v>
      </c>
      <c r="O86" s="966" t="b">
        <f>IF('LBP Beplank.'!$B23&gt;0,'LBP Beplank.'!W23)</f>
        <v>0</v>
      </c>
      <c r="P86" s="783"/>
    </row>
    <row r="87" spans="5:16" ht="12.75" customHeight="1" x14ac:dyDescent="0.2">
      <c r="E87" s="956" t="b">
        <f>IF('LBP Beplank.'!$B24&gt;0,'LBP Beplank.'!B24)</f>
        <v>0</v>
      </c>
      <c r="F87" s="956" t="b">
        <f>IF('LBP Beplank.'!$B24&gt;0,'LBP Beplank.'!C24)</f>
        <v>0</v>
      </c>
      <c r="G87" s="956" t="b">
        <f>IF('LBP Beplank.'!$B24&gt;0,'LBP Beplank.'!D24)</f>
        <v>0</v>
      </c>
      <c r="H87" s="966" t="b">
        <f>IF('LBP Beplank.'!$B24&gt;0,'LBP Beplank.'!E24)</f>
        <v>0</v>
      </c>
      <c r="I87" s="966" t="b">
        <f>IF('LBP Beplank.'!$B24&gt;0,'LBP Beplank.'!F24)</f>
        <v>0</v>
      </c>
      <c r="J87" s="966" t="b">
        <f>IF('LBP Beplank.'!$B24&gt;0,'LBP Beplank.'!G24)</f>
        <v>0</v>
      </c>
      <c r="K87" s="955"/>
      <c r="L87" s="955"/>
      <c r="M87" s="1042" t="b">
        <f>IF('LBP Beplank.'!$B24&gt;0,'LBP Beplank.'!I24)</f>
        <v>0</v>
      </c>
      <c r="N87" s="1045" t="b">
        <f>IF('LBP Beplank.'!$B24&gt;0,'LBP Beplank.'!V24)</f>
        <v>0</v>
      </c>
      <c r="O87" s="966" t="b">
        <f>IF('LBP Beplank.'!$B24&gt;0,'LBP Beplank.'!W24)</f>
        <v>0</v>
      </c>
      <c r="P87" s="783"/>
    </row>
    <row r="88" spans="5:16" ht="12.75" customHeight="1" x14ac:dyDescent="0.2">
      <c r="E88" s="956" t="b">
        <f>IF('LBP Beplank.'!$B25&gt;0,'LBP Beplank.'!B25)</f>
        <v>0</v>
      </c>
      <c r="F88" s="956" t="b">
        <f>IF('LBP Beplank.'!$B25&gt;0,'LBP Beplank.'!C25)</f>
        <v>0</v>
      </c>
      <c r="G88" s="956" t="b">
        <f>IF('LBP Beplank.'!$B25&gt;0,'LBP Beplank.'!D25)</f>
        <v>0</v>
      </c>
      <c r="H88" s="966" t="b">
        <f>IF('LBP Beplank.'!$B25&gt;0,'LBP Beplank.'!E25)</f>
        <v>0</v>
      </c>
      <c r="I88" s="966" t="b">
        <f>IF('LBP Beplank.'!$B25&gt;0,'LBP Beplank.'!F25)</f>
        <v>0</v>
      </c>
      <c r="J88" s="966" t="b">
        <f>IF('LBP Beplank.'!$B25&gt;0,'LBP Beplank.'!G25)</f>
        <v>0</v>
      </c>
      <c r="K88" s="955"/>
      <c r="L88" s="955"/>
      <c r="M88" s="1042" t="b">
        <f>IF('LBP Beplank.'!$B25&gt;0,'LBP Beplank.'!I25)</f>
        <v>0</v>
      </c>
      <c r="N88" s="1045" t="b">
        <f>IF('LBP Beplank.'!$B25&gt;0,'LBP Beplank.'!V25)</f>
        <v>0</v>
      </c>
      <c r="O88" s="966" t="b">
        <f>IF('LBP Beplank.'!$B25&gt;0,'LBP Beplank.'!W25)</f>
        <v>0</v>
      </c>
      <c r="P88" s="783"/>
    </row>
    <row r="89" spans="5:16" ht="12.75" customHeight="1" x14ac:dyDescent="0.2">
      <c r="E89" s="1037" t="b">
        <f>IF('LBP Beplank.'!$B26&gt;0,'LBP Beplank.'!B26)</f>
        <v>0</v>
      </c>
      <c r="F89" s="956" t="b">
        <f>IF('LBP Beplank.'!$B26&gt;0,'LBP Beplank.'!C26)</f>
        <v>0</v>
      </c>
      <c r="G89" s="956" t="b">
        <f>IF('LBP Beplank.'!$B26&gt;0,'LBP Beplank.'!D26)</f>
        <v>0</v>
      </c>
      <c r="H89" s="966" t="b">
        <f>IF('LBP Beplank.'!$B26&gt;0,'LBP Beplank.'!E26)</f>
        <v>0</v>
      </c>
      <c r="I89" s="966" t="b">
        <f>IF('LBP Beplank.'!$B26&gt;0,'LBP Beplank.'!F26)</f>
        <v>0</v>
      </c>
      <c r="J89" s="966" t="b">
        <f>IF('LBP Beplank.'!$B26&gt;0,'LBP Beplank.'!G26)</f>
        <v>0</v>
      </c>
      <c r="K89" s="955"/>
      <c r="L89" s="955"/>
      <c r="M89" s="1042" t="b">
        <f>IF('LBP Beplank.'!$B26&gt;0,'LBP Beplank.'!I26)</f>
        <v>0</v>
      </c>
      <c r="N89" s="1045" t="b">
        <f>IF('LBP Beplank.'!$B26&gt;0,'LBP Beplank.'!V26)</f>
        <v>0</v>
      </c>
      <c r="O89" s="966" t="b">
        <f>IF('LBP Beplank.'!$B26&gt;0,'LBP Beplank.'!W26)</f>
        <v>0</v>
      </c>
      <c r="P89" s="783"/>
    </row>
    <row r="90" spans="5:16" ht="12.75" customHeight="1" x14ac:dyDescent="0.2">
      <c r="E90" s="956" t="b">
        <f>IF('HFA Beplank.'!$B8&gt;0,'HFA Beplank.'!B8)</f>
        <v>0</v>
      </c>
      <c r="F90" s="956" t="b">
        <f>IF('HFA Beplank.'!$B8&gt;0,'HFA Beplank.'!C8)</f>
        <v>0</v>
      </c>
      <c r="G90" s="956" t="b">
        <f>IF('HFA Beplank.'!$B8&gt;0,'HFA Beplank.'!D8)</f>
        <v>0</v>
      </c>
      <c r="H90" s="966" t="b">
        <f>IF('HFA Beplank.'!$B8&gt;0,'HFA Beplank.'!E8)</f>
        <v>0</v>
      </c>
      <c r="I90" s="966" t="b">
        <f>IF('HFA Beplank.'!$B8&gt;0,'HFA Beplank.'!F8)</f>
        <v>0</v>
      </c>
      <c r="J90" s="966" t="b">
        <f>IF('HFA Beplank.'!$B8&gt;0,'HFA Beplank.'!G8)</f>
        <v>0</v>
      </c>
      <c r="K90" s="955"/>
      <c r="L90" s="955"/>
      <c r="M90" s="1042" t="b">
        <f>IF('HFA Beplank.'!$B8&gt;0,'HFA Beplank.'!K8)</f>
        <v>0</v>
      </c>
      <c r="N90" s="1045" t="b">
        <f>IF('HFA Beplank.'!$B8&gt;0,'HFA Beplank.'!V8)</f>
        <v>0</v>
      </c>
      <c r="O90" s="966" t="b">
        <f>IF('HFA Beplank.'!$B8&gt;0,'HFA Beplank.'!W8)</f>
        <v>0</v>
      </c>
      <c r="P90" s="783"/>
    </row>
    <row r="91" spans="5:16" ht="12.75" customHeight="1" x14ac:dyDescent="0.2">
      <c r="E91" s="956" t="b">
        <f>IF('HFA Beplank.'!$B9&gt;0,'HFA Beplank.'!B9)</f>
        <v>0</v>
      </c>
      <c r="F91" s="956" t="b">
        <f>IF('HFA Beplank.'!$B9&gt;0,'HFA Beplank.'!C9)</f>
        <v>0</v>
      </c>
      <c r="G91" s="956" t="b">
        <f>IF('HFA Beplank.'!$B9&gt;0,'HFA Beplank.'!D9)</f>
        <v>0</v>
      </c>
      <c r="H91" s="966" t="b">
        <f>IF('HFA Beplank.'!$B9&gt;0,'HFA Beplank.'!E9)</f>
        <v>0</v>
      </c>
      <c r="I91" s="966" t="b">
        <f>IF('HFA Beplank.'!$B9&gt;0,'HFA Beplank.'!F9)</f>
        <v>0</v>
      </c>
      <c r="J91" s="966" t="b">
        <f>IF('HFA Beplank.'!$B9&gt;0,'HFA Beplank.'!G9)</f>
        <v>0</v>
      </c>
      <c r="K91" s="955"/>
      <c r="L91" s="955"/>
      <c r="M91" s="1042" t="b">
        <f>IF('HFA Beplank.'!$B9&gt;0,'HFA Beplank.'!K9)</f>
        <v>0</v>
      </c>
      <c r="N91" s="1045" t="b">
        <f>IF('HFA Beplank.'!$B9&gt;0,'HFA Beplank.'!V9)</f>
        <v>0</v>
      </c>
      <c r="O91" s="966" t="b">
        <f>IF('HFA Beplank.'!$B9&gt;0,'HFA Beplank.'!W9)</f>
        <v>0</v>
      </c>
      <c r="P91" s="783"/>
    </row>
    <row r="92" spans="5:16" ht="12.75" customHeight="1" x14ac:dyDescent="0.2">
      <c r="E92" s="956" t="b">
        <f>IF('HFA Beplank.'!$B10&gt;0,'HFA Beplank.'!B10)</f>
        <v>0</v>
      </c>
      <c r="F92" s="956" t="b">
        <f>IF('HFA Beplank.'!$B10&gt;0,'HFA Beplank.'!C10)</f>
        <v>0</v>
      </c>
      <c r="G92" s="956" t="b">
        <f>IF('HFA Beplank.'!$B10&gt;0,'HFA Beplank.'!D10)</f>
        <v>0</v>
      </c>
      <c r="H92" s="966" t="b">
        <f>IF('HFA Beplank.'!$B10&gt;0,'HFA Beplank.'!E10)</f>
        <v>0</v>
      </c>
      <c r="I92" s="966" t="b">
        <f>IF('HFA Beplank.'!$B10&gt;0,'HFA Beplank.'!F10)</f>
        <v>0</v>
      </c>
      <c r="J92" s="966" t="b">
        <f>IF('HFA Beplank.'!$B10&gt;0,'HFA Beplank.'!G10)</f>
        <v>0</v>
      </c>
      <c r="K92" s="955"/>
      <c r="L92" s="955"/>
      <c r="M92" s="1042" t="b">
        <f>IF('HFA Beplank.'!$B10&gt;0,'HFA Beplank.'!K10)</f>
        <v>0</v>
      </c>
      <c r="N92" s="1045" t="b">
        <f>IF('HFA Beplank.'!$B10&gt;0,'HFA Beplank.'!V10)</f>
        <v>0</v>
      </c>
      <c r="O92" s="966" t="b">
        <f>IF('HFA Beplank.'!$B10&gt;0,'HFA Beplank.'!W10)</f>
        <v>0</v>
      </c>
      <c r="P92" s="783"/>
    </row>
    <row r="93" spans="5:16" ht="12.75" customHeight="1" x14ac:dyDescent="0.2">
      <c r="E93" s="956" t="b">
        <f>IF('HFA Beplank.'!$B11&gt;0,'HFA Beplank.'!B11)</f>
        <v>0</v>
      </c>
      <c r="F93" s="956" t="b">
        <f>IF('HFA Beplank.'!$B11&gt;0,'HFA Beplank.'!C11)</f>
        <v>0</v>
      </c>
      <c r="G93" s="956" t="b">
        <f>IF('HFA Beplank.'!$B11&gt;0,'HFA Beplank.'!D11)</f>
        <v>0</v>
      </c>
      <c r="H93" s="966" t="b">
        <f>IF('HFA Beplank.'!$B11&gt;0,'HFA Beplank.'!E11)</f>
        <v>0</v>
      </c>
      <c r="I93" s="966" t="b">
        <f>IF('HFA Beplank.'!$B11&gt;0,'HFA Beplank.'!F11)</f>
        <v>0</v>
      </c>
      <c r="J93" s="966" t="b">
        <f>IF('HFA Beplank.'!$B11&gt;0,'HFA Beplank.'!G11)</f>
        <v>0</v>
      </c>
      <c r="K93" s="955"/>
      <c r="L93" s="955"/>
      <c r="M93" s="1042" t="b">
        <f>IF('HFA Beplank.'!$B11&gt;0,'HFA Beplank.'!K11)</f>
        <v>0</v>
      </c>
      <c r="N93" s="1045" t="b">
        <f>IF('HFA Beplank.'!$B11&gt;0,'HFA Beplank.'!V11)</f>
        <v>0</v>
      </c>
      <c r="O93" s="966" t="b">
        <f>IF('HFA Beplank.'!$B11&gt;0,'HFA Beplank.'!W11)</f>
        <v>0</v>
      </c>
      <c r="P93" s="783"/>
    </row>
    <row r="94" spans="5:16" ht="12.75" customHeight="1" x14ac:dyDescent="0.2">
      <c r="E94" s="956" t="b">
        <f>IF('HFA Beplank.'!$B12&gt;0,'HFA Beplank.'!B12)</f>
        <v>0</v>
      </c>
      <c r="F94" s="956" t="b">
        <f>IF('HFA Beplank.'!$B12&gt;0,'HFA Beplank.'!C12)</f>
        <v>0</v>
      </c>
      <c r="G94" s="956" t="b">
        <f>IF('HFA Beplank.'!$B12&gt;0,'HFA Beplank.'!D12)</f>
        <v>0</v>
      </c>
      <c r="H94" s="966" t="b">
        <f>IF('HFA Beplank.'!$B12&gt;0,'HFA Beplank.'!E12)</f>
        <v>0</v>
      </c>
      <c r="I94" s="966" t="b">
        <f>IF('HFA Beplank.'!$B12&gt;0,'HFA Beplank.'!F12)</f>
        <v>0</v>
      </c>
      <c r="J94" s="966" t="b">
        <f>IF('HFA Beplank.'!$B12&gt;0,'HFA Beplank.'!G12)</f>
        <v>0</v>
      </c>
      <c r="K94" s="955"/>
      <c r="L94" s="955"/>
      <c r="M94" s="1042" t="b">
        <f>IF('HFA Beplank.'!$B12&gt;0,'HFA Beplank.'!K12)</f>
        <v>0</v>
      </c>
      <c r="N94" s="1045" t="b">
        <f>IF('HFA Beplank.'!$B12&gt;0,'HFA Beplank.'!V12)</f>
        <v>0</v>
      </c>
      <c r="O94" s="966" t="b">
        <f>IF('HFA Beplank.'!$B12&gt;0,'HFA Beplank.'!W12)</f>
        <v>0</v>
      </c>
      <c r="P94" s="783"/>
    </row>
    <row r="95" spans="5:16" ht="12.75" customHeight="1" x14ac:dyDescent="0.2">
      <c r="E95" s="956" t="b">
        <f>IF('HFA Beplank.'!$B13&gt;0,'HFA Beplank.'!B13)</f>
        <v>0</v>
      </c>
      <c r="F95" s="956" t="b">
        <f>IF('HFA Beplank.'!$B13&gt;0,'HFA Beplank.'!C13)</f>
        <v>0</v>
      </c>
      <c r="G95" s="956" t="b">
        <f>IF('HFA Beplank.'!$B13&gt;0,'HFA Beplank.'!D13)</f>
        <v>0</v>
      </c>
      <c r="H95" s="966" t="b">
        <f>IF('HFA Beplank.'!$B13&gt;0,'HFA Beplank.'!E13)</f>
        <v>0</v>
      </c>
      <c r="I95" s="966" t="b">
        <f>IF('HFA Beplank.'!$B13&gt;0,'HFA Beplank.'!F13)</f>
        <v>0</v>
      </c>
      <c r="J95" s="966" t="b">
        <f>IF('HFA Beplank.'!$B13&gt;0,'HFA Beplank.'!G13)</f>
        <v>0</v>
      </c>
      <c r="K95" s="955"/>
      <c r="L95" s="955"/>
      <c r="M95" s="1042" t="b">
        <f>IF('HFA Beplank.'!$B13&gt;0,'HFA Beplank.'!K13)</f>
        <v>0</v>
      </c>
      <c r="N95" s="1045" t="b">
        <f>IF('HFA Beplank.'!$B13&gt;0,'HFA Beplank.'!V13)</f>
        <v>0</v>
      </c>
      <c r="O95" s="966" t="b">
        <f>IF('HFA Beplank.'!$B13&gt;0,'HFA Beplank.'!W13)</f>
        <v>0</v>
      </c>
      <c r="P95" s="783"/>
    </row>
    <row r="96" spans="5:16" ht="12.75" customHeight="1" x14ac:dyDescent="0.2">
      <c r="E96" s="956" t="b">
        <f>IF('HFA Beplank.'!$B14&gt;0,'HFA Beplank.'!B14)</f>
        <v>0</v>
      </c>
      <c r="F96" s="956" t="b">
        <f>IF('HFA Beplank.'!$B14&gt;0,'HFA Beplank.'!C14)</f>
        <v>0</v>
      </c>
      <c r="G96" s="956" t="b">
        <f>IF('HFA Beplank.'!$B14&gt;0,'HFA Beplank.'!D14)</f>
        <v>0</v>
      </c>
      <c r="H96" s="966" t="b">
        <f>IF('HFA Beplank.'!$B14&gt;0,'HFA Beplank.'!E14)</f>
        <v>0</v>
      </c>
      <c r="I96" s="966" t="b">
        <f>IF('HFA Beplank.'!$B14&gt;0,'HFA Beplank.'!F14)</f>
        <v>0</v>
      </c>
      <c r="J96" s="966" t="b">
        <f>IF('HFA Beplank.'!$B14&gt;0,'HFA Beplank.'!G14)</f>
        <v>0</v>
      </c>
      <c r="K96" s="955"/>
      <c r="L96" s="955"/>
      <c r="M96" s="1042" t="b">
        <f>IF('HFA Beplank.'!$B14&gt;0,'HFA Beplank.'!K14)</f>
        <v>0</v>
      </c>
      <c r="N96" s="1045" t="b">
        <f>IF('HFA Beplank.'!$B14&gt;0,'HFA Beplank.'!V14)</f>
        <v>0</v>
      </c>
      <c r="O96" s="966" t="b">
        <f>IF('HFA Beplank.'!$B14&gt;0,'HFA Beplank.'!W14)</f>
        <v>0</v>
      </c>
      <c r="P96" s="783"/>
    </row>
    <row r="97" spans="5:16" ht="12.75" customHeight="1" x14ac:dyDescent="0.2">
      <c r="E97" s="956" t="b">
        <f>IF('HFA Beplank.'!$B15&gt;0,'HFA Beplank.'!B15)</f>
        <v>0</v>
      </c>
      <c r="F97" s="956" t="b">
        <f>IF('HFA Beplank.'!$B15&gt;0,'HFA Beplank.'!C15)</f>
        <v>0</v>
      </c>
      <c r="G97" s="956" t="b">
        <f>IF('HFA Beplank.'!$B15&gt;0,'HFA Beplank.'!D15)</f>
        <v>0</v>
      </c>
      <c r="H97" s="966" t="b">
        <f>IF('HFA Beplank.'!$B15&gt;0,'HFA Beplank.'!E15)</f>
        <v>0</v>
      </c>
      <c r="I97" s="966" t="b">
        <f>IF('HFA Beplank.'!$B15&gt;0,'HFA Beplank.'!F15)</f>
        <v>0</v>
      </c>
      <c r="J97" s="966" t="b">
        <f>IF('HFA Beplank.'!$B15&gt;0,'HFA Beplank.'!G15)</f>
        <v>0</v>
      </c>
      <c r="K97" s="955"/>
      <c r="L97" s="955"/>
      <c r="M97" s="1042" t="b">
        <f>IF('HFA Beplank.'!$B15&gt;0,'HFA Beplank.'!K15)</f>
        <v>0</v>
      </c>
      <c r="N97" s="1045" t="b">
        <f>IF('HFA Beplank.'!$B15&gt;0,'HFA Beplank.'!V15)</f>
        <v>0</v>
      </c>
      <c r="O97" s="966" t="b">
        <f>IF('HFA Beplank.'!$B15&gt;0,'HFA Beplank.'!W15)</f>
        <v>0</v>
      </c>
      <c r="P97" s="783"/>
    </row>
    <row r="98" spans="5:16" ht="12.75" customHeight="1" x14ac:dyDescent="0.2">
      <c r="E98" s="956" t="b">
        <f>IF('HFA Beplank.'!$B16&gt;0,'HFA Beplank.'!B16)</f>
        <v>0</v>
      </c>
      <c r="F98" s="956" t="b">
        <f>IF('HFA Beplank.'!$B16&gt;0,'HFA Beplank.'!C16)</f>
        <v>0</v>
      </c>
      <c r="G98" s="956" t="b">
        <f>IF('HFA Beplank.'!$B16&gt;0,'HFA Beplank.'!D16)</f>
        <v>0</v>
      </c>
      <c r="H98" s="966" t="b">
        <f>IF('HFA Beplank.'!$B16&gt;0,'HFA Beplank.'!E16)</f>
        <v>0</v>
      </c>
      <c r="I98" s="966" t="b">
        <f>IF('HFA Beplank.'!$B16&gt;0,'HFA Beplank.'!F16)</f>
        <v>0</v>
      </c>
      <c r="J98" s="966" t="b">
        <f>IF('HFA Beplank.'!$B16&gt;0,'HFA Beplank.'!G16)</f>
        <v>0</v>
      </c>
      <c r="K98" s="955"/>
      <c r="L98" s="955"/>
      <c r="M98" s="1042" t="b">
        <f>IF('HFA Beplank.'!$B16&gt;0,'HFA Beplank.'!K16)</f>
        <v>0</v>
      </c>
      <c r="N98" s="1045" t="b">
        <f>IF('HFA Beplank.'!$B16&gt;0,'HFA Beplank.'!V16)</f>
        <v>0</v>
      </c>
      <c r="O98" s="966" t="b">
        <f>IF('HFA Beplank.'!$B16&gt;0,'HFA Beplank.'!W16)</f>
        <v>0</v>
      </c>
      <c r="P98" s="783"/>
    </row>
    <row r="99" spans="5:16" ht="12.75" customHeight="1" x14ac:dyDescent="0.2">
      <c r="E99" s="956" t="b">
        <f>IF('HFA Beplank.'!$B17&gt;0,'HFA Beplank.'!B17)</f>
        <v>0</v>
      </c>
      <c r="F99" s="956" t="b">
        <f>IF('HFA Beplank.'!$B17&gt;0,'HFA Beplank.'!C17)</f>
        <v>0</v>
      </c>
      <c r="G99" s="956" t="b">
        <f>IF('HFA Beplank.'!$B17&gt;0,'HFA Beplank.'!D17)</f>
        <v>0</v>
      </c>
      <c r="H99" s="966" t="b">
        <f>IF('HFA Beplank.'!$B17&gt;0,'HFA Beplank.'!E17)</f>
        <v>0</v>
      </c>
      <c r="I99" s="966" t="b">
        <f>IF('HFA Beplank.'!$B17&gt;0,'HFA Beplank.'!F17)</f>
        <v>0</v>
      </c>
      <c r="J99" s="966" t="b">
        <f>IF('HFA Beplank.'!$B17&gt;0,'HFA Beplank.'!G17)</f>
        <v>0</v>
      </c>
      <c r="K99" s="955"/>
      <c r="L99" s="955"/>
      <c r="M99" s="1042" t="b">
        <f>IF('HFA Beplank.'!$B17&gt;0,'HFA Beplank.'!K17)</f>
        <v>0</v>
      </c>
      <c r="N99" s="1045" t="b">
        <f>IF('HFA Beplank.'!$B17&gt;0,'HFA Beplank.'!V17)</f>
        <v>0</v>
      </c>
      <c r="O99" s="966" t="b">
        <f>IF('HFA Beplank.'!$B17&gt;0,'HFA Beplank.'!W17)</f>
        <v>0</v>
      </c>
      <c r="P99" s="783"/>
    </row>
    <row r="100" spans="5:16" ht="12.75" customHeight="1" x14ac:dyDescent="0.2">
      <c r="E100" s="1037" t="b">
        <f>IF('HFA Beplank.'!$B18&gt;0,'HFA Beplank.'!B18)</f>
        <v>0</v>
      </c>
      <c r="F100" s="956" t="b">
        <f>IF('HFA Beplank.'!$B18&gt;0,'HFA Beplank.'!C18)</f>
        <v>0</v>
      </c>
      <c r="G100" s="956" t="b">
        <f>IF('HFA Beplank.'!$B18&gt;0,'HFA Beplank.'!D18)</f>
        <v>0</v>
      </c>
      <c r="H100" s="966" t="b">
        <f>IF('HFA Beplank.'!$B18&gt;0,'HFA Beplank.'!E18)</f>
        <v>0</v>
      </c>
      <c r="I100" s="966" t="b">
        <f>IF('HFA Beplank.'!$B18&gt;0,'HFA Beplank.'!F18)</f>
        <v>0</v>
      </c>
      <c r="J100" s="966" t="b">
        <f>IF('HFA Beplank.'!$B18&gt;0,'HFA Beplank.'!G18)</f>
        <v>0</v>
      </c>
      <c r="K100" s="955"/>
      <c r="L100" s="955"/>
      <c r="M100" s="1042" t="b">
        <f>IF('HFA Beplank.'!$B18&gt;0,'HFA Beplank.'!K18)</f>
        <v>0</v>
      </c>
      <c r="N100" s="1045" t="b">
        <f>IF('HFA Beplank.'!$B18&gt;0,'HFA Beplank.'!V18)</f>
        <v>0</v>
      </c>
      <c r="O100" s="966" t="b">
        <f>IF('HFA Beplank.'!$B18&gt;0,'HFA Beplank.'!W18)</f>
        <v>0</v>
      </c>
      <c r="P100" s="783"/>
    </row>
    <row r="101" spans="5:16" ht="12.75" customHeight="1" x14ac:dyDescent="0.2">
      <c r="E101" s="956" t="b">
        <f>IF('LBP+HFA Bekleid.'!$B8&gt;0,'LBP+HFA Bekleid.'!B8)</f>
        <v>0</v>
      </c>
      <c r="F101" s="956" t="b">
        <f>IF('LBP+HFA Bekleid.'!$B8&gt;0,'LBP+HFA Bekleid.'!C8)</f>
        <v>0</v>
      </c>
      <c r="G101" s="956" t="b">
        <f>IF('LBP+HFA Bekleid.'!$B8&gt;0,'LBP+HFA Bekleid.'!D8)</f>
        <v>0</v>
      </c>
      <c r="H101" s="966" t="b">
        <f>IF('LBP+HFA Bekleid.'!$B8&gt;0,'LBP+HFA Bekleid.'!E8)</f>
        <v>0</v>
      </c>
      <c r="I101" s="966" t="b">
        <f>IF('LBP+HFA Bekleid.'!$B8&gt;0,'LBP+HFA Bekleid.'!F8)</f>
        <v>0</v>
      </c>
      <c r="J101" s="966" t="b">
        <f>IF('LBP+HFA Bekleid.'!$B8&gt;0,'LBP+HFA Bekleid.'!G8)</f>
        <v>0</v>
      </c>
      <c r="K101" s="955"/>
      <c r="L101" s="955"/>
      <c r="M101" s="1042" t="b">
        <f>IF('LBP+HFA Bekleid.'!$B8&gt;0,'LBP+HFA Bekleid.'!I8)</f>
        <v>0</v>
      </c>
      <c r="N101" s="1045" t="b">
        <f>IF('LBP+HFA Bekleid.'!$B8&gt;0,'LBP+HFA Bekleid.'!V8)</f>
        <v>0</v>
      </c>
      <c r="O101" s="966" t="b">
        <f>IF('LBP+HFA Bekleid.'!$B8&gt;0,'LBP+HFA Bekleid.'!W8)</f>
        <v>0</v>
      </c>
      <c r="P101" s="783"/>
    </row>
    <row r="102" spans="5:16" ht="12.75" customHeight="1" x14ac:dyDescent="0.2">
      <c r="E102" s="956" t="b">
        <f>IF('LBP+HFA Bekleid.'!$B9&gt;0,'LBP+HFA Bekleid.'!B9)</f>
        <v>0</v>
      </c>
      <c r="F102" s="956" t="b">
        <f>IF('LBP+HFA Bekleid.'!$B9&gt;0,'LBP+HFA Bekleid.'!C9)</f>
        <v>0</v>
      </c>
      <c r="G102" s="956" t="b">
        <f>IF('LBP+HFA Bekleid.'!$B9&gt;0,'LBP+HFA Bekleid.'!D9)</f>
        <v>0</v>
      </c>
      <c r="H102" s="966" t="b">
        <f>IF('LBP+HFA Bekleid.'!$B9&gt;0,'LBP+HFA Bekleid.'!E9)</f>
        <v>0</v>
      </c>
      <c r="I102" s="966" t="b">
        <f>IF('LBP+HFA Bekleid.'!$B9&gt;0,'LBP+HFA Bekleid.'!F9)</f>
        <v>0</v>
      </c>
      <c r="J102" s="966" t="b">
        <f>IF('LBP+HFA Bekleid.'!$B9&gt;0,'LBP+HFA Bekleid.'!G9)</f>
        <v>0</v>
      </c>
      <c r="K102" s="955"/>
      <c r="L102" s="955"/>
      <c r="M102" s="1042" t="b">
        <f>IF('LBP+HFA Bekleid.'!$B9&gt;0,'LBP+HFA Bekleid.'!I9)</f>
        <v>0</v>
      </c>
      <c r="N102" s="1045" t="b">
        <f>IF('LBP+HFA Bekleid.'!$B9&gt;0,'LBP+HFA Bekleid.'!V9)</f>
        <v>0</v>
      </c>
      <c r="O102" s="966" t="b">
        <f>IF('LBP+HFA Bekleid.'!$B9&gt;0,'LBP+HFA Bekleid.'!W9)</f>
        <v>0</v>
      </c>
      <c r="P102" s="783"/>
    </row>
    <row r="103" spans="5:16" ht="12.75" customHeight="1" x14ac:dyDescent="0.2">
      <c r="E103" s="956" t="b">
        <f>IF('LBP+HFA Bekleid.'!$B10&gt;0,'LBP+HFA Bekleid.'!B10)</f>
        <v>0</v>
      </c>
      <c r="F103" s="956" t="b">
        <f>IF('LBP+HFA Bekleid.'!$B10&gt;0,'LBP+HFA Bekleid.'!C10)</f>
        <v>0</v>
      </c>
      <c r="G103" s="956" t="b">
        <f>IF('LBP+HFA Bekleid.'!$B10&gt;0,'LBP+HFA Bekleid.'!D10)</f>
        <v>0</v>
      </c>
      <c r="H103" s="966" t="b">
        <f>IF('LBP+HFA Bekleid.'!$B10&gt;0,'LBP+HFA Bekleid.'!E10)</f>
        <v>0</v>
      </c>
      <c r="I103" s="966" t="b">
        <f>IF('LBP+HFA Bekleid.'!$B10&gt;0,'LBP+HFA Bekleid.'!F10)</f>
        <v>0</v>
      </c>
      <c r="J103" s="966" t="b">
        <f>IF('LBP+HFA Bekleid.'!$B10&gt;0,'LBP+HFA Bekleid.'!G10)</f>
        <v>0</v>
      </c>
      <c r="K103" s="955"/>
      <c r="L103" s="955"/>
      <c r="M103" s="1042" t="b">
        <f>IF('LBP+HFA Bekleid.'!$B10&gt;0,'LBP+HFA Bekleid.'!I10)</f>
        <v>0</v>
      </c>
      <c r="N103" s="1045" t="b">
        <f>IF('LBP+HFA Bekleid.'!$B10&gt;0,'LBP+HFA Bekleid.'!V10)</f>
        <v>0</v>
      </c>
      <c r="O103" s="966" t="b">
        <f>IF('LBP+HFA Bekleid.'!$B10&gt;0,'LBP+HFA Bekleid.'!W10)</f>
        <v>0</v>
      </c>
      <c r="P103" s="783"/>
    </row>
    <row r="104" spans="5:16" ht="12.75" customHeight="1" x14ac:dyDescent="0.2">
      <c r="E104" s="956" t="b">
        <f>IF('LBP+HFA Bekleid.'!$B11&gt;0,'LBP+HFA Bekleid.'!B11)</f>
        <v>0</v>
      </c>
      <c r="F104" s="956" t="b">
        <f>IF('LBP+HFA Bekleid.'!$B11&gt;0,'LBP+HFA Bekleid.'!C11)</f>
        <v>0</v>
      </c>
      <c r="G104" s="956" t="b">
        <f>IF('LBP+HFA Bekleid.'!$B11&gt;0,'LBP+HFA Bekleid.'!D11)</f>
        <v>0</v>
      </c>
      <c r="H104" s="966" t="b">
        <f>IF('LBP+HFA Bekleid.'!$B11&gt;0,'LBP+HFA Bekleid.'!E11)</f>
        <v>0</v>
      </c>
      <c r="I104" s="966" t="b">
        <f>IF('LBP+HFA Bekleid.'!$B11&gt;0,'LBP+HFA Bekleid.'!F11)</f>
        <v>0</v>
      </c>
      <c r="J104" s="966" t="b">
        <f>IF('LBP+HFA Bekleid.'!$B11&gt;0,'LBP+HFA Bekleid.'!G11)</f>
        <v>0</v>
      </c>
      <c r="K104" s="955"/>
      <c r="L104" s="955"/>
      <c r="M104" s="1042" t="b">
        <f>IF('LBP+HFA Bekleid.'!$B11&gt;0,'LBP+HFA Bekleid.'!I11)</f>
        <v>0</v>
      </c>
      <c r="N104" s="1045" t="b">
        <f>IF('LBP+HFA Bekleid.'!$B11&gt;0,'LBP+HFA Bekleid.'!V11)</f>
        <v>0</v>
      </c>
      <c r="O104" s="966" t="b">
        <f>IF('LBP+HFA Bekleid.'!$B11&gt;0,'LBP+HFA Bekleid.'!W11)</f>
        <v>0</v>
      </c>
      <c r="P104" s="783"/>
    </row>
    <row r="105" spans="5:16" ht="12.75" customHeight="1" x14ac:dyDescent="0.2">
      <c r="E105" s="956" t="b">
        <f>IF('LBP+HFA Bekleid.'!$B12&gt;0,'LBP+HFA Bekleid.'!B12)</f>
        <v>0</v>
      </c>
      <c r="F105" s="956" t="b">
        <f>IF('LBP+HFA Bekleid.'!$B12&gt;0,'LBP+HFA Bekleid.'!C12)</f>
        <v>0</v>
      </c>
      <c r="G105" s="956" t="b">
        <f>IF('LBP+HFA Bekleid.'!$B12&gt;0,'LBP+HFA Bekleid.'!D12)</f>
        <v>0</v>
      </c>
      <c r="H105" s="966" t="b">
        <f>IF('LBP+HFA Bekleid.'!$B12&gt;0,'LBP+HFA Bekleid.'!E12)</f>
        <v>0</v>
      </c>
      <c r="I105" s="966" t="b">
        <f>IF('LBP+HFA Bekleid.'!$B12&gt;0,'LBP+HFA Bekleid.'!F12)</f>
        <v>0</v>
      </c>
      <c r="J105" s="966" t="b">
        <f>IF('LBP+HFA Bekleid.'!$B12&gt;0,'LBP+HFA Bekleid.'!G12)</f>
        <v>0</v>
      </c>
      <c r="K105" s="955"/>
      <c r="L105" s="955"/>
      <c r="M105" s="1042" t="b">
        <f>IF('LBP+HFA Bekleid.'!$B12&gt;0,'LBP+HFA Bekleid.'!I12)</f>
        <v>0</v>
      </c>
      <c r="N105" s="1045" t="b">
        <f>IF('LBP+HFA Bekleid.'!$B12&gt;0,'LBP+HFA Bekleid.'!V12)</f>
        <v>0</v>
      </c>
      <c r="O105" s="966" t="b">
        <f>IF('LBP+HFA Bekleid.'!$B12&gt;0,'LBP+HFA Bekleid.'!W12)</f>
        <v>0</v>
      </c>
      <c r="P105" s="783"/>
    </row>
    <row r="106" spans="5:16" ht="12.75" customHeight="1" x14ac:dyDescent="0.2">
      <c r="E106" s="956" t="b">
        <f>IF('LBP+HFA Bekleid.'!$B13&gt;0,'LBP+HFA Bekleid.'!B13)</f>
        <v>0</v>
      </c>
      <c r="F106" s="956" t="b">
        <f>IF('LBP+HFA Bekleid.'!$B13&gt;0,'LBP+HFA Bekleid.'!C13)</f>
        <v>0</v>
      </c>
      <c r="G106" s="956" t="b">
        <f>IF('LBP+HFA Bekleid.'!$B13&gt;0,'LBP+HFA Bekleid.'!D13)</f>
        <v>0</v>
      </c>
      <c r="H106" s="966" t="b">
        <f>IF('LBP+HFA Bekleid.'!$B13&gt;0,'LBP+HFA Bekleid.'!E13)</f>
        <v>0</v>
      </c>
      <c r="I106" s="966" t="b">
        <f>IF('LBP+HFA Bekleid.'!$B13&gt;0,'LBP+HFA Bekleid.'!F13)</f>
        <v>0</v>
      </c>
      <c r="J106" s="966" t="b">
        <f>IF('LBP+HFA Bekleid.'!$B13&gt;0,'LBP+HFA Bekleid.'!G13)</f>
        <v>0</v>
      </c>
      <c r="K106" s="955"/>
      <c r="L106" s="955"/>
      <c r="M106" s="1042" t="b">
        <f>IF('LBP+HFA Bekleid.'!$B13&gt;0,'LBP+HFA Bekleid.'!I13)</f>
        <v>0</v>
      </c>
      <c r="N106" s="1045" t="b">
        <f>IF('LBP+HFA Bekleid.'!$B13&gt;0,'LBP+HFA Bekleid.'!V13)</f>
        <v>0</v>
      </c>
      <c r="O106" s="966" t="b">
        <f>IF('LBP+HFA Bekleid.'!$B13&gt;0,'LBP+HFA Bekleid.'!W13)</f>
        <v>0</v>
      </c>
      <c r="P106" s="783"/>
    </row>
    <row r="107" spans="5:16" ht="12.75" customHeight="1" x14ac:dyDescent="0.2">
      <c r="E107" s="956" t="b">
        <f>IF('LBP+HFA Bekleid.'!$B14&gt;0,'LBP+HFA Bekleid.'!B14)</f>
        <v>0</v>
      </c>
      <c r="F107" s="956" t="b">
        <f>IF('LBP+HFA Bekleid.'!$B14&gt;0,'LBP+HFA Bekleid.'!C14)</f>
        <v>0</v>
      </c>
      <c r="G107" s="956" t="b">
        <f>IF('LBP+HFA Bekleid.'!$B14&gt;0,'LBP+HFA Bekleid.'!D14)</f>
        <v>0</v>
      </c>
      <c r="H107" s="966" t="b">
        <f>IF('LBP+HFA Bekleid.'!$B14&gt;0,'LBP+HFA Bekleid.'!E14)</f>
        <v>0</v>
      </c>
      <c r="I107" s="966" t="b">
        <f>IF('LBP+HFA Bekleid.'!$B14&gt;0,'LBP+HFA Bekleid.'!F14)</f>
        <v>0</v>
      </c>
      <c r="J107" s="966" t="b">
        <f>IF('LBP+HFA Bekleid.'!$B14&gt;0,'LBP+HFA Bekleid.'!G14)</f>
        <v>0</v>
      </c>
      <c r="K107" s="955"/>
      <c r="L107" s="955"/>
      <c r="M107" s="1042" t="b">
        <f>IF('LBP+HFA Bekleid.'!$B14&gt;0,'LBP+HFA Bekleid.'!I14)</f>
        <v>0</v>
      </c>
      <c r="N107" s="1045" t="b">
        <f>IF('LBP+HFA Bekleid.'!$B14&gt;0,'LBP+HFA Bekleid.'!V14)</f>
        <v>0</v>
      </c>
      <c r="O107" s="966" t="b">
        <f>IF('LBP+HFA Bekleid.'!$B14&gt;0,'LBP+HFA Bekleid.'!W14)</f>
        <v>0</v>
      </c>
      <c r="P107" s="783"/>
    </row>
    <row r="108" spans="5:16" ht="12.75" customHeight="1" x14ac:dyDescent="0.2">
      <c r="E108" s="956" t="b">
        <f>IF('LBP+HFA Bekleid.'!$B15&gt;0,'LBP+HFA Bekleid.'!B15)</f>
        <v>0</v>
      </c>
      <c r="F108" s="956" t="b">
        <f>IF('LBP+HFA Bekleid.'!$B15&gt;0,'LBP+HFA Bekleid.'!C15)</f>
        <v>0</v>
      </c>
      <c r="G108" s="956" t="b">
        <f>IF('LBP+HFA Bekleid.'!$B15&gt;0,'LBP+HFA Bekleid.'!D15)</f>
        <v>0</v>
      </c>
      <c r="H108" s="966" t="b">
        <f>IF('LBP+HFA Bekleid.'!$B15&gt;0,'LBP+HFA Bekleid.'!E15)</f>
        <v>0</v>
      </c>
      <c r="I108" s="966" t="b">
        <f>IF('LBP+HFA Bekleid.'!$B15&gt;0,'LBP+HFA Bekleid.'!F15)</f>
        <v>0</v>
      </c>
      <c r="J108" s="966" t="b">
        <f>IF('LBP+HFA Bekleid.'!$B15&gt;0,'LBP+HFA Bekleid.'!G15)</f>
        <v>0</v>
      </c>
      <c r="K108" s="955"/>
      <c r="L108" s="955"/>
      <c r="M108" s="1042" t="b">
        <f>IF('LBP+HFA Bekleid.'!$B15&gt;0,'LBP+HFA Bekleid.'!I15)</f>
        <v>0</v>
      </c>
      <c r="N108" s="1045" t="b">
        <f>IF('LBP+HFA Bekleid.'!$B15&gt;0,'LBP+HFA Bekleid.'!V15)</f>
        <v>0</v>
      </c>
      <c r="O108" s="966" t="b">
        <f>IF('LBP+HFA Bekleid.'!$B15&gt;0,'LBP+HFA Bekleid.'!W15)</f>
        <v>0</v>
      </c>
      <c r="P108" s="783"/>
    </row>
    <row r="109" spans="5:16" ht="12.75" customHeight="1" x14ac:dyDescent="0.2">
      <c r="E109" s="956" t="b">
        <f>IF('LBP+HFA Bekleid.'!$B16&gt;0,'LBP+HFA Bekleid.'!B16)</f>
        <v>0</v>
      </c>
      <c r="F109" s="956" t="b">
        <f>IF('LBP+HFA Bekleid.'!$B16&gt;0,'LBP+HFA Bekleid.'!C16)</f>
        <v>0</v>
      </c>
      <c r="G109" s="956" t="b">
        <f>IF('LBP+HFA Bekleid.'!$B16&gt;0,'LBP+HFA Bekleid.'!D16)</f>
        <v>0</v>
      </c>
      <c r="H109" s="966" t="b">
        <f>IF('LBP+HFA Bekleid.'!$B16&gt;0,'LBP+HFA Bekleid.'!E16)</f>
        <v>0</v>
      </c>
      <c r="I109" s="966" t="b">
        <f>IF('LBP+HFA Bekleid.'!$B16&gt;0,'LBP+HFA Bekleid.'!F16)</f>
        <v>0</v>
      </c>
      <c r="J109" s="966" t="b">
        <f>IF('LBP+HFA Bekleid.'!$B16&gt;0,'LBP+HFA Bekleid.'!G16)</f>
        <v>0</v>
      </c>
      <c r="K109" s="955"/>
      <c r="L109" s="955"/>
      <c r="M109" s="1042" t="b">
        <f>IF('LBP+HFA Bekleid.'!$B16&gt;0,'LBP+HFA Bekleid.'!I16)</f>
        <v>0</v>
      </c>
      <c r="N109" s="1045" t="b">
        <f>IF('LBP+HFA Bekleid.'!$B16&gt;0,'LBP+HFA Bekleid.'!V16)</f>
        <v>0</v>
      </c>
      <c r="O109" s="966" t="b">
        <f>IF('LBP+HFA Bekleid.'!$B16&gt;0,'LBP+HFA Bekleid.'!W16)</f>
        <v>0</v>
      </c>
      <c r="P109" s="783"/>
    </row>
    <row r="110" spans="5:16" ht="12.75" customHeight="1" x14ac:dyDescent="0.2">
      <c r="E110" s="1037" t="b">
        <f>IF('LBP+HFA Bekleid.'!$B17&gt;0,'LBP+HFA Bekleid.'!B17)</f>
        <v>0</v>
      </c>
      <c r="F110" s="956" t="b">
        <f>IF('LBP+HFA Bekleid.'!$B17&gt;0,'LBP+HFA Bekleid.'!C17)</f>
        <v>0</v>
      </c>
      <c r="G110" s="956" t="b">
        <f>IF('LBP+HFA Bekleid.'!$B17&gt;0,'LBP+HFA Bekleid.'!D17)</f>
        <v>0</v>
      </c>
      <c r="H110" s="966" t="b">
        <f>IF('LBP+HFA Bekleid.'!$B17&gt;0,'LBP+HFA Bekleid.'!E17)</f>
        <v>0</v>
      </c>
      <c r="I110" s="966" t="b">
        <f>IF('LBP+HFA Bekleid.'!$B17&gt;0,'LBP+HFA Bekleid.'!F17)</f>
        <v>0</v>
      </c>
      <c r="J110" s="966" t="b">
        <f>IF('LBP+HFA Bekleid.'!$B17&gt;0,'LBP+HFA Bekleid.'!G17)</f>
        <v>0</v>
      </c>
      <c r="K110" s="955"/>
      <c r="L110" s="955"/>
      <c r="M110" s="1042" t="b">
        <f>IF('LBP+HFA Bekleid.'!$B17&gt;0,'LBP+HFA Bekleid.'!I17)</f>
        <v>0</v>
      </c>
      <c r="N110" s="1045" t="b">
        <f>IF('LBP+HFA Bekleid.'!$B17&gt;0,'LBP+HFA Bekleid.'!V17)</f>
        <v>0</v>
      </c>
      <c r="O110" s="966" t="b">
        <f>IF('LBP+HFA Bekleid.'!$B17&gt;0,'LBP+HFA Bekleid.'!W17)</f>
        <v>0</v>
      </c>
      <c r="P110" s="783"/>
    </row>
    <row r="111" spans="5:16" ht="12.75" customHeight="1" x14ac:dyDescent="0.2">
      <c r="E111" s="956" t="b">
        <f>IF('FW Lehmsteine'!$B8&gt;0,'FW Lehmsteine'!B8)</f>
        <v>0</v>
      </c>
      <c r="F111" s="956" t="b">
        <f>IF('FW Lehmsteine'!$B8&gt;0,'FW Lehmsteine'!C8)</f>
        <v>0</v>
      </c>
      <c r="G111" s="956" t="b">
        <f>IF('FW Lehmsteine'!$B8&gt;0,'FW Lehmsteine'!D8)</f>
        <v>0</v>
      </c>
      <c r="H111" s="966" t="b">
        <f>IF('FW Lehmsteine'!$B8&gt;0,'FW Lehmsteine'!E8)</f>
        <v>0</v>
      </c>
      <c r="I111" s="966" t="b">
        <f>IF('FW Lehmsteine'!$B8&gt;0,'FW Lehmsteine'!F8)</f>
        <v>0</v>
      </c>
      <c r="J111" s="966" t="b">
        <f>IF('FW Lehmsteine'!$B8&gt;0,'FW Lehmsteine'!G8)</f>
        <v>0</v>
      </c>
      <c r="K111" s="955"/>
      <c r="L111" s="955"/>
      <c r="M111" s="1042" t="b">
        <f>IF('FW Lehmsteine'!$B8&gt;0,'FW Lehmsteine'!H8)</f>
        <v>0</v>
      </c>
      <c r="N111" s="1045" t="b">
        <f>IF('FW Lehmsteine'!$B8&gt;0,'FW Lehmsteine'!T8)</f>
        <v>0</v>
      </c>
      <c r="O111" s="966" t="b">
        <f>IF('FW Lehmsteine'!$B8&gt;0,'FW Lehmsteine'!U8)</f>
        <v>0</v>
      </c>
      <c r="P111" s="783"/>
    </row>
    <row r="112" spans="5:16" ht="12.75" customHeight="1" x14ac:dyDescent="0.2">
      <c r="E112" s="956" t="b">
        <f>IF('FW Lehmsteine'!$B9&gt;0,'FW Lehmsteine'!B9)</f>
        <v>0</v>
      </c>
      <c r="F112" s="956" t="b">
        <f>IF('FW Lehmsteine'!$B9&gt;0,'FW Lehmsteine'!C9)</f>
        <v>0</v>
      </c>
      <c r="G112" s="956" t="b">
        <f>IF('FW Lehmsteine'!$B9&gt;0,'FW Lehmsteine'!D9)</f>
        <v>0</v>
      </c>
      <c r="H112" s="966" t="b">
        <f>IF('FW Lehmsteine'!$B9&gt;0,'FW Lehmsteine'!E9)</f>
        <v>0</v>
      </c>
      <c r="I112" s="966" t="b">
        <f>IF('FW Lehmsteine'!$B9&gt;0,'FW Lehmsteine'!F9)</f>
        <v>0</v>
      </c>
      <c r="J112" s="966" t="b">
        <f>IF('FW Lehmsteine'!$B9&gt;0,'FW Lehmsteine'!G9)</f>
        <v>0</v>
      </c>
      <c r="K112" s="955"/>
      <c r="L112" s="955"/>
      <c r="M112" s="1042" t="b">
        <f>IF('FW Lehmsteine'!$B9&gt;0,'FW Lehmsteine'!H9)</f>
        <v>0</v>
      </c>
      <c r="N112" s="1045" t="b">
        <f>IF('FW Lehmsteine'!$B9&gt;0,'FW Lehmsteine'!T9)</f>
        <v>0</v>
      </c>
      <c r="O112" s="966" t="b">
        <f>IF('FW Lehmsteine'!$B9&gt;0,'FW Lehmsteine'!U9)</f>
        <v>0</v>
      </c>
      <c r="P112" s="783"/>
    </row>
    <row r="113" spans="5:16" ht="12.75" customHeight="1" x14ac:dyDescent="0.2">
      <c r="E113" s="956" t="b">
        <f>IF('FW Lehmsteine'!$B10&gt;0,'FW Lehmsteine'!B10)</f>
        <v>0</v>
      </c>
      <c r="F113" s="956" t="b">
        <f>IF('FW Lehmsteine'!$B10&gt;0,'FW Lehmsteine'!C10)</f>
        <v>0</v>
      </c>
      <c r="G113" s="956" t="b">
        <f>IF('FW Lehmsteine'!$B10&gt;0,'FW Lehmsteine'!D10)</f>
        <v>0</v>
      </c>
      <c r="H113" s="966" t="b">
        <f>IF('FW Lehmsteine'!$B10&gt;0,'FW Lehmsteine'!E10)</f>
        <v>0</v>
      </c>
      <c r="I113" s="966" t="b">
        <f>IF('FW Lehmsteine'!$B10&gt;0,'FW Lehmsteine'!F10)</f>
        <v>0</v>
      </c>
      <c r="J113" s="966" t="b">
        <f>IF('FW Lehmsteine'!$B10&gt;0,'FW Lehmsteine'!G10)</f>
        <v>0</v>
      </c>
      <c r="K113" s="955"/>
      <c r="L113" s="955"/>
      <c r="M113" s="1042" t="b">
        <f>IF('FW Lehmsteine'!$B10&gt;0,'FW Lehmsteine'!H10)</f>
        <v>0</v>
      </c>
      <c r="N113" s="1045" t="b">
        <f>IF('FW Lehmsteine'!$B10&gt;0,'FW Lehmsteine'!T10)</f>
        <v>0</v>
      </c>
      <c r="O113" s="966" t="b">
        <f>IF('FW Lehmsteine'!$B10&gt;0,'FW Lehmsteine'!U10)</f>
        <v>0</v>
      </c>
      <c r="P113" s="783"/>
    </row>
    <row r="114" spans="5:16" ht="12.75" customHeight="1" x14ac:dyDescent="0.2">
      <c r="E114" s="956" t="b">
        <f>IF('FW Lehmsteine'!$B11&gt;0,'FW Lehmsteine'!B11)</f>
        <v>0</v>
      </c>
      <c r="F114" s="956" t="b">
        <f>IF('FW Lehmsteine'!$B11&gt;0,'FW Lehmsteine'!C11)</f>
        <v>0</v>
      </c>
      <c r="G114" s="956" t="b">
        <f>IF('FW Lehmsteine'!$B11&gt;0,'FW Lehmsteine'!D11)</f>
        <v>0</v>
      </c>
      <c r="H114" s="966" t="b">
        <f>IF('FW Lehmsteine'!$B11&gt;0,'FW Lehmsteine'!E11)</f>
        <v>0</v>
      </c>
      <c r="I114" s="966" t="b">
        <f>IF('FW Lehmsteine'!$B11&gt;0,'FW Lehmsteine'!F11)</f>
        <v>0</v>
      </c>
      <c r="J114" s="966" t="b">
        <f>IF('FW Lehmsteine'!$B11&gt;0,'FW Lehmsteine'!G11)</f>
        <v>0</v>
      </c>
      <c r="K114" s="955"/>
      <c r="L114" s="955"/>
      <c r="M114" s="1042" t="b">
        <f>IF('FW Lehmsteine'!$B11&gt;0,'FW Lehmsteine'!H11)</f>
        <v>0</v>
      </c>
      <c r="N114" s="1045" t="b">
        <f>IF('FW Lehmsteine'!$B11&gt;0,'FW Lehmsteine'!T11)</f>
        <v>0</v>
      </c>
      <c r="O114" s="966" t="b">
        <f>IF('FW Lehmsteine'!$B11&gt;0,'FW Lehmsteine'!U11)</f>
        <v>0</v>
      </c>
      <c r="P114" s="783"/>
    </row>
    <row r="115" spans="5:16" ht="12.75" customHeight="1" x14ac:dyDescent="0.2">
      <c r="E115" s="956" t="b">
        <f>IF('FW Lehmsteine'!$B12&gt;0,'FW Lehmsteine'!B12)</f>
        <v>0</v>
      </c>
      <c r="F115" s="956" t="b">
        <f>IF('FW Lehmsteine'!$B12&gt;0,'FW Lehmsteine'!C12)</f>
        <v>0</v>
      </c>
      <c r="G115" s="956" t="b">
        <f>IF('FW Lehmsteine'!$B12&gt;0,'FW Lehmsteine'!D12)</f>
        <v>0</v>
      </c>
      <c r="H115" s="966" t="b">
        <f>IF('FW Lehmsteine'!$B12&gt;0,'FW Lehmsteine'!E12)</f>
        <v>0</v>
      </c>
      <c r="I115" s="966" t="b">
        <f>IF('FW Lehmsteine'!$B12&gt;0,'FW Lehmsteine'!F12)</f>
        <v>0</v>
      </c>
      <c r="J115" s="966" t="b">
        <f>IF('FW Lehmsteine'!$B12&gt;0,'FW Lehmsteine'!G12)</f>
        <v>0</v>
      </c>
      <c r="K115" s="955"/>
      <c r="L115" s="955"/>
      <c r="M115" s="1042" t="b">
        <f>IF('FW Lehmsteine'!$B12&gt;0,'FW Lehmsteine'!H12)</f>
        <v>0</v>
      </c>
      <c r="N115" s="1045" t="b">
        <f>IF('FW Lehmsteine'!$B12&gt;0,'FW Lehmsteine'!T12)</f>
        <v>0</v>
      </c>
      <c r="O115" s="966" t="b">
        <f>IF('FW Lehmsteine'!$B12&gt;0,'FW Lehmsteine'!U12)</f>
        <v>0</v>
      </c>
      <c r="P115" s="783"/>
    </row>
    <row r="116" spans="5:16" ht="12.75" customHeight="1" x14ac:dyDescent="0.2">
      <c r="E116" s="956" t="b">
        <f>IF('FW Lehmsteine'!$B13&gt;0,'FW Lehmsteine'!B13)</f>
        <v>0</v>
      </c>
      <c r="F116" s="956" t="b">
        <f>IF('FW Lehmsteine'!$B13&gt;0,'FW Lehmsteine'!C13)</f>
        <v>0</v>
      </c>
      <c r="G116" s="956" t="b">
        <f>IF('FW Lehmsteine'!$B13&gt;0,'FW Lehmsteine'!D13)</f>
        <v>0</v>
      </c>
      <c r="H116" s="966" t="b">
        <f>IF('FW Lehmsteine'!$B13&gt;0,'FW Lehmsteine'!E13)</f>
        <v>0</v>
      </c>
      <c r="I116" s="966" t="b">
        <f>IF('FW Lehmsteine'!$B13&gt;0,'FW Lehmsteine'!F13)</f>
        <v>0</v>
      </c>
      <c r="J116" s="966" t="b">
        <f>IF('FW Lehmsteine'!$B13&gt;0,'FW Lehmsteine'!G13)</f>
        <v>0</v>
      </c>
      <c r="K116" s="955"/>
      <c r="L116" s="955"/>
      <c r="M116" s="1042" t="b">
        <f>IF('FW Lehmsteine'!$B13&gt;0,'FW Lehmsteine'!H13)</f>
        <v>0</v>
      </c>
      <c r="N116" s="1045" t="b">
        <f>IF('FW Lehmsteine'!$B13&gt;0,'FW Lehmsteine'!T13)</f>
        <v>0</v>
      </c>
      <c r="O116" s="966" t="b">
        <f>IF('FW Lehmsteine'!$B13&gt;0,'FW Lehmsteine'!U13)</f>
        <v>0</v>
      </c>
      <c r="P116" s="783"/>
    </row>
    <row r="117" spans="5:16" ht="12.75" customHeight="1" x14ac:dyDescent="0.2">
      <c r="E117" s="956" t="b">
        <f>IF('FW Lehmsteine'!$B14&gt;0,'FW Lehmsteine'!B14)</f>
        <v>0</v>
      </c>
      <c r="F117" s="956" t="b">
        <f>IF('FW Lehmsteine'!$B14&gt;0,'FW Lehmsteine'!C14)</f>
        <v>0</v>
      </c>
      <c r="G117" s="956" t="b">
        <f>IF('FW Lehmsteine'!$B14&gt;0,'FW Lehmsteine'!D14)</f>
        <v>0</v>
      </c>
      <c r="H117" s="966" t="b">
        <f>IF('FW Lehmsteine'!$B14&gt;0,'FW Lehmsteine'!E14)</f>
        <v>0</v>
      </c>
      <c r="I117" s="966" t="b">
        <f>IF('FW Lehmsteine'!$B14&gt;0,'FW Lehmsteine'!F14)</f>
        <v>0</v>
      </c>
      <c r="J117" s="966" t="b">
        <f>IF('FW Lehmsteine'!$B14&gt;0,'FW Lehmsteine'!G14)</f>
        <v>0</v>
      </c>
      <c r="K117" s="955"/>
      <c r="L117" s="955"/>
      <c r="M117" s="1042" t="b">
        <f>IF('FW Lehmsteine'!$B14&gt;0,'FW Lehmsteine'!H14)</f>
        <v>0</v>
      </c>
      <c r="N117" s="1045" t="b">
        <f>IF('FW Lehmsteine'!$B14&gt;0,'FW Lehmsteine'!T14)</f>
        <v>0</v>
      </c>
      <c r="O117" s="966" t="b">
        <f>IF('FW Lehmsteine'!$B14&gt;0,'FW Lehmsteine'!U14)</f>
        <v>0</v>
      </c>
      <c r="P117" s="783"/>
    </row>
    <row r="118" spans="5:16" ht="12.75" customHeight="1" x14ac:dyDescent="0.2">
      <c r="E118" s="956" t="b">
        <f>IF('FW Lehmsteine'!$B15&gt;0,'FW Lehmsteine'!B15)</f>
        <v>0</v>
      </c>
      <c r="F118" s="956" t="b">
        <f>IF('FW Lehmsteine'!$B15&gt;0,'FW Lehmsteine'!C15)</f>
        <v>0</v>
      </c>
      <c r="G118" s="956" t="b">
        <f>IF('FW Lehmsteine'!$B15&gt;0,'FW Lehmsteine'!D15)</f>
        <v>0</v>
      </c>
      <c r="H118" s="966" t="b">
        <f>IF('FW Lehmsteine'!$B15&gt;0,'FW Lehmsteine'!E15)</f>
        <v>0</v>
      </c>
      <c r="I118" s="966" t="b">
        <f>IF('FW Lehmsteine'!$B15&gt;0,'FW Lehmsteine'!F15)</f>
        <v>0</v>
      </c>
      <c r="J118" s="966" t="b">
        <f>IF('FW Lehmsteine'!$B15&gt;0,'FW Lehmsteine'!G15)</f>
        <v>0</v>
      </c>
      <c r="K118" s="955"/>
      <c r="L118" s="955"/>
      <c r="M118" s="1042" t="b">
        <f>IF('FW Lehmsteine'!$B15&gt;0,'FW Lehmsteine'!H15)</f>
        <v>0</v>
      </c>
      <c r="N118" s="1045" t="b">
        <f>IF('FW Lehmsteine'!$B15&gt;0,'FW Lehmsteine'!T15)</f>
        <v>0</v>
      </c>
      <c r="O118" s="966" t="b">
        <f>IF('FW Lehmsteine'!$B15&gt;0,'FW Lehmsteine'!U15)</f>
        <v>0</v>
      </c>
      <c r="P118" s="783"/>
    </row>
    <row r="119" spans="5:16" ht="12.75" customHeight="1" x14ac:dyDescent="0.2">
      <c r="E119" s="956" t="b">
        <f>IF('FW Lehmsteine'!$B16&gt;0,'FW Lehmsteine'!B16)</f>
        <v>0</v>
      </c>
      <c r="F119" s="956" t="b">
        <f>IF('FW Lehmsteine'!$B16&gt;0,'FW Lehmsteine'!C16)</f>
        <v>0</v>
      </c>
      <c r="G119" s="956" t="b">
        <f>IF('FW Lehmsteine'!$B16&gt;0,'FW Lehmsteine'!D16)</f>
        <v>0</v>
      </c>
      <c r="H119" s="966" t="b">
        <f>IF('FW Lehmsteine'!$B16&gt;0,'FW Lehmsteine'!E16)</f>
        <v>0</v>
      </c>
      <c r="I119" s="966" t="b">
        <f>IF('FW Lehmsteine'!$B16&gt;0,'FW Lehmsteine'!F16)</f>
        <v>0</v>
      </c>
      <c r="J119" s="966" t="b">
        <f>IF('FW Lehmsteine'!$B16&gt;0,'FW Lehmsteine'!G16)</f>
        <v>0</v>
      </c>
      <c r="K119" s="955"/>
      <c r="L119" s="955"/>
      <c r="M119" s="1042" t="b">
        <f>IF('FW Lehmsteine'!$B16&gt;0,'FW Lehmsteine'!H16)</f>
        <v>0</v>
      </c>
      <c r="N119" s="1045" t="b">
        <f>IF('FW Lehmsteine'!$B16&gt;0,'FW Lehmsteine'!T16)</f>
        <v>0</v>
      </c>
      <c r="O119" s="966" t="b">
        <f>IF('FW Lehmsteine'!$B16&gt;0,'FW Lehmsteine'!U16)</f>
        <v>0</v>
      </c>
      <c r="P119" s="783"/>
    </row>
    <row r="120" spans="5:16" ht="12.75" customHeight="1" x14ac:dyDescent="0.2">
      <c r="E120" s="956" t="b">
        <f>IF('FW Lehmsteine'!$B17&gt;0,'FW Lehmsteine'!B17)</f>
        <v>0</v>
      </c>
      <c r="F120" s="956" t="b">
        <f>IF('FW Lehmsteine'!$B17&gt;0,'FW Lehmsteine'!C17)</f>
        <v>0</v>
      </c>
      <c r="G120" s="956" t="b">
        <f>IF('FW Lehmsteine'!$B17&gt;0,'FW Lehmsteine'!D17)</f>
        <v>0</v>
      </c>
      <c r="H120" s="966" t="b">
        <f>IF('FW Lehmsteine'!$B17&gt;0,'FW Lehmsteine'!E17)</f>
        <v>0</v>
      </c>
      <c r="I120" s="966" t="b">
        <f>IF('FW Lehmsteine'!$B17&gt;0,'FW Lehmsteine'!F17)</f>
        <v>0</v>
      </c>
      <c r="J120" s="966" t="b">
        <f>IF('FW Lehmsteine'!$B17&gt;0,'FW Lehmsteine'!G17)</f>
        <v>0</v>
      </c>
      <c r="K120" s="955"/>
      <c r="L120" s="955"/>
      <c r="M120" s="1042" t="b">
        <f>IF('FW Lehmsteine'!$B17&gt;0,'FW Lehmsteine'!H17)</f>
        <v>0</v>
      </c>
      <c r="N120" s="1045" t="b">
        <f>IF('FW Lehmsteine'!$B17&gt;0,'FW Lehmsteine'!T17)</f>
        <v>0</v>
      </c>
      <c r="O120" s="966" t="b">
        <f>IF('FW Lehmsteine'!$B17&gt;0,'FW Lehmsteine'!U17)</f>
        <v>0</v>
      </c>
      <c r="P120" s="783"/>
    </row>
    <row r="121" spans="5:16" ht="12.75" customHeight="1" x14ac:dyDescent="0.2">
      <c r="E121" s="956" t="b">
        <f>IF('FW Lehmsteine'!$B18&gt;0,'FW Lehmsteine'!B18)</f>
        <v>0</v>
      </c>
      <c r="F121" s="956" t="b">
        <f>IF('FW Lehmsteine'!$B18&gt;0,'FW Lehmsteine'!C18)</f>
        <v>0</v>
      </c>
      <c r="G121" s="956" t="b">
        <f>IF('FW Lehmsteine'!$B18&gt;0,'FW Lehmsteine'!D18)</f>
        <v>0</v>
      </c>
      <c r="H121" s="966" t="b">
        <f>IF('FW Lehmsteine'!$B18&gt;0,'FW Lehmsteine'!E18)</f>
        <v>0</v>
      </c>
      <c r="I121" s="966" t="b">
        <f>IF('FW Lehmsteine'!$B18&gt;0,'FW Lehmsteine'!F18)</f>
        <v>0</v>
      </c>
      <c r="J121" s="966" t="b">
        <f>IF('FW Lehmsteine'!$B18&gt;0,'FW Lehmsteine'!G18)</f>
        <v>0</v>
      </c>
      <c r="K121" s="955"/>
      <c r="L121" s="955"/>
      <c r="M121" s="1042" t="b">
        <f>IF('FW Lehmsteine'!$B18&gt;0,'FW Lehmsteine'!H18)</f>
        <v>0</v>
      </c>
      <c r="N121" s="1045" t="b">
        <f>IF('FW Lehmsteine'!$B18&gt;0,'FW Lehmsteine'!T18)</f>
        <v>0</v>
      </c>
      <c r="O121" s="966" t="b">
        <f>IF('FW Lehmsteine'!$B18&gt;0,'FW Lehmsteine'!U18)</f>
        <v>0</v>
      </c>
      <c r="P121" s="783"/>
    </row>
    <row r="122" spans="5:16" ht="12.75" customHeight="1" x14ac:dyDescent="0.2">
      <c r="E122" s="956" t="b">
        <f>IF('FW Lehmsteine'!$B19&gt;0,'FW Lehmsteine'!B19)</f>
        <v>0</v>
      </c>
      <c r="F122" s="956" t="b">
        <f>IF('FW Lehmsteine'!$B19&gt;0,'FW Lehmsteine'!C19)</f>
        <v>0</v>
      </c>
      <c r="G122" s="956" t="b">
        <f>IF('FW Lehmsteine'!$B19&gt;0,'FW Lehmsteine'!D19)</f>
        <v>0</v>
      </c>
      <c r="H122" s="966" t="b">
        <f>IF('FW Lehmsteine'!$B19&gt;0,'FW Lehmsteine'!E19)</f>
        <v>0</v>
      </c>
      <c r="I122" s="966" t="b">
        <f>IF('FW Lehmsteine'!$B19&gt;0,'FW Lehmsteine'!F19)</f>
        <v>0</v>
      </c>
      <c r="J122" s="966" t="b">
        <f>IF('FW Lehmsteine'!$B19&gt;0,'FW Lehmsteine'!G19)</f>
        <v>0</v>
      </c>
      <c r="K122" s="955"/>
      <c r="L122" s="955"/>
      <c r="M122" s="1042" t="b">
        <f>IF('FW Lehmsteine'!$B19&gt;0,'FW Lehmsteine'!H19)</f>
        <v>0</v>
      </c>
      <c r="N122" s="1045" t="b">
        <f>IF('FW Lehmsteine'!$B19&gt;0,'FW Lehmsteine'!T19)</f>
        <v>0</v>
      </c>
      <c r="O122" s="966" t="b">
        <f>IF('FW Lehmsteine'!$B19&gt;0,'FW Lehmsteine'!U19)</f>
        <v>0</v>
      </c>
      <c r="P122" s="783"/>
    </row>
    <row r="123" spans="5:16" ht="12.75" customHeight="1" x14ac:dyDescent="0.2">
      <c r="E123" s="956" t="b">
        <f>IF('FW Lehmsteine'!$B20&gt;0,'FW Lehmsteine'!B20)</f>
        <v>0</v>
      </c>
      <c r="F123" s="956" t="b">
        <f>IF('FW Lehmsteine'!$B20&gt;0,'FW Lehmsteine'!C20)</f>
        <v>0</v>
      </c>
      <c r="G123" s="956" t="b">
        <f>IF('FW Lehmsteine'!$B20&gt;0,'FW Lehmsteine'!D20)</f>
        <v>0</v>
      </c>
      <c r="H123" s="966" t="b">
        <f>IF('FW Lehmsteine'!$B20&gt;0,'FW Lehmsteine'!E20)</f>
        <v>0</v>
      </c>
      <c r="I123" s="966" t="b">
        <f>IF('FW Lehmsteine'!$B20&gt;0,'FW Lehmsteine'!F20)</f>
        <v>0</v>
      </c>
      <c r="J123" s="966" t="b">
        <f>IF('FW Lehmsteine'!$B20&gt;0,'FW Lehmsteine'!G20)</f>
        <v>0</v>
      </c>
      <c r="K123" s="955"/>
      <c r="L123" s="955"/>
      <c r="M123" s="1042" t="b">
        <f>IF('FW Lehmsteine'!$B20&gt;0,'FW Lehmsteine'!H20)</f>
        <v>0</v>
      </c>
      <c r="N123" s="1045" t="b">
        <f>IF('FW Lehmsteine'!$B20&gt;0,'FW Lehmsteine'!T20)</f>
        <v>0</v>
      </c>
      <c r="O123" s="966" t="b">
        <f>IF('FW Lehmsteine'!$B20&gt;0,'FW Lehmsteine'!U20)</f>
        <v>0</v>
      </c>
      <c r="P123" s="783"/>
    </row>
    <row r="124" spans="5:16" ht="12.75" customHeight="1" x14ac:dyDescent="0.2">
      <c r="E124" s="956" t="b">
        <f>IF('FW Lehmsteine'!$B21&gt;0,'FW Lehmsteine'!B21)</f>
        <v>0</v>
      </c>
      <c r="F124" s="956" t="b">
        <f>IF('FW Lehmsteine'!$B21&gt;0,'FW Lehmsteine'!C21)</f>
        <v>0</v>
      </c>
      <c r="G124" s="956" t="b">
        <f>IF('FW Lehmsteine'!$B21&gt;0,'FW Lehmsteine'!D21)</f>
        <v>0</v>
      </c>
      <c r="H124" s="966" t="b">
        <f>IF('FW Lehmsteine'!$B21&gt;0,'FW Lehmsteine'!E21)</f>
        <v>0</v>
      </c>
      <c r="I124" s="966" t="b">
        <f>IF('FW Lehmsteine'!$B21&gt;0,'FW Lehmsteine'!F21)</f>
        <v>0</v>
      </c>
      <c r="J124" s="966" t="b">
        <f>IF('FW Lehmsteine'!$B21&gt;0,'FW Lehmsteine'!G21)</f>
        <v>0</v>
      </c>
      <c r="K124" s="955"/>
      <c r="L124" s="955"/>
      <c r="M124" s="1042" t="b">
        <f>IF('FW Lehmsteine'!$B21&gt;0,'FW Lehmsteine'!H21)</f>
        <v>0</v>
      </c>
      <c r="N124" s="1045" t="b">
        <f>IF('FW Lehmsteine'!$B21&gt;0,'FW Lehmsteine'!T21)</f>
        <v>0</v>
      </c>
      <c r="O124" s="966" t="b">
        <f>IF('FW Lehmsteine'!$B21&gt;0,'FW Lehmsteine'!U21)</f>
        <v>0</v>
      </c>
      <c r="P124" s="783"/>
    </row>
    <row r="125" spans="5:16" ht="12.75" customHeight="1" x14ac:dyDescent="0.2">
      <c r="E125" s="956" t="b">
        <f>IF('FW Lehmsteine'!$B22&gt;0,'FW Lehmsteine'!B22)</f>
        <v>0</v>
      </c>
      <c r="F125" s="956" t="b">
        <f>IF('FW Lehmsteine'!$B22&gt;0,'FW Lehmsteine'!C22)</f>
        <v>0</v>
      </c>
      <c r="G125" s="956" t="b">
        <f>IF('FW Lehmsteine'!$B22&gt;0,'FW Lehmsteine'!D22)</f>
        <v>0</v>
      </c>
      <c r="H125" s="966" t="b">
        <f>IF('FW Lehmsteine'!$B22&gt;0,'FW Lehmsteine'!E22)</f>
        <v>0</v>
      </c>
      <c r="I125" s="966" t="b">
        <f>IF('FW Lehmsteine'!$B22&gt;0,'FW Lehmsteine'!F22)</f>
        <v>0</v>
      </c>
      <c r="J125" s="966" t="b">
        <f>IF('FW Lehmsteine'!$B22&gt;0,'FW Lehmsteine'!G22)</f>
        <v>0</v>
      </c>
      <c r="K125" s="955"/>
      <c r="L125" s="955"/>
      <c r="M125" s="1042" t="b">
        <f>IF('FW Lehmsteine'!$B22&gt;0,'FW Lehmsteine'!H22)</f>
        <v>0</v>
      </c>
      <c r="N125" s="1045" t="b">
        <f>IF('FW Lehmsteine'!$B22&gt;0,'FW Lehmsteine'!T22)</f>
        <v>0</v>
      </c>
      <c r="O125" s="966" t="b">
        <f>IF('FW Lehmsteine'!$B22&gt;0,'FW Lehmsteine'!U22)</f>
        <v>0</v>
      </c>
      <c r="P125" s="783"/>
    </row>
    <row r="126" spans="5:16" ht="12.75" customHeight="1" x14ac:dyDescent="0.2">
      <c r="E126" s="1037" t="b">
        <f>IF('FW Lehmsteine'!$B23&gt;0,'FW Lehmsteine'!B23)</f>
        <v>0</v>
      </c>
      <c r="F126" s="956" t="b">
        <f>IF('FW Lehmsteine'!$B23&gt;0,'FW Lehmsteine'!C23)</f>
        <v>0</v>
      </c>
      <c r="G126" s="956" t="b">
        <f>IF('FW Lehmsteine'!$B23&gt;0,'FW Lehmsteine'!D23)</f>
        <v>0</v>
      </c>
      <c r="H126" s="966" t="b">
        <f>IF('FW Lehmsteine'!$B23&gt;0,'FW Lehmsteine'!E23)</f>
        <v>0</v>
      </c>
      <c r="I126" s="966" t="b">
        <f>IF('FW Lehmsteine'!$B23&gt;0,'FW Lehmsteine'!F23)</f>
        <v>0</v>
      </c>
      <c r="J126" s="966" t="b">
        <f>IF('FW Lehmsteine'!$B23&gt;0,'FW Lehmsteine'!G23)</f>
        <v>0</v>
      </c>
      <c r="K126" s="955"/>
      <c r="L126" s="955"/>
      <c r="M126" s="1042" t="b">
        <f>IF('FW Lehmsteine'!$B23&gt;0,'FW Lehmsteine'!H23)</f>
        <v>0</v>
      </c>
      <c r="N126" s="1045" t="b">
        <f>IF('FW Lehmsteine'!$B23&gt;0,'FW Lehmsteine'!T23)</f>
        <v>0</v>
      </c>
      <c r="O126" s="966" t="b">
        <f>IF('FW Lehmsteine'!$B23&gt;0,'FW Lehmsteine'!U23)</f>
        <v>0</v>
      </c>
      <c r="P126" s="783"/>
    </row>
    <row r="127" spans="5:16" ht="12.75" customHeight="1" x14ac:dyDescent="0.2">
      <c r="E127" s="956" t="b">
        <f>IF('FW Flechtwerk'!$B8&gt;0,'FW Flechtwerk'!B8)</f>
        <v>0</v>
      </c>
      <c r="F127" s="956" t="b">
        <f>IF('FW Flechtwerk'!$B8&gt;0,'FW Flechtwerk'!C8)</f>
        <v>0</v>
      </c>
      <c r="G127" s="956" t="b">
        <f>IF('FW Flechtwerk'!$B8&gt;0,'FW Flechtwerk'!D8)</f>
        <v>0</v>
      </c>
      <c r="H127" s="966" t="b">
        <f>IF('FW Flechtwerk'!$B8&gt;0,'FW Flechtwerk'!E8)</f>
        <v>0</v>
      </c>
      <c r="I127" s="966" t="b">
        <f>IF('FW Flechtwerk'!$B8&gt;0,'FW Flechtwerk'!F8)</f>
        <v>0</v>
      </c>
      <c r="J127" s="966" t="b">
        <f>IF('FW Flechtwerk'!$B8&gt;0,'FW Flechtwerk'!G8)</f>
        <v>0</v>
      </c>
      <c r="K127" s="955"/>
      <c r="L127" s="955"/>
      <c r="M127" s="1042" t="b">
        <f>IF('FW Flechtwerk'!$B8&gt;0,'FW Flechtwerk'!I8)</f>
        <v>0</v>
      </c>
      <c r="N127" s="1045" t="b">
        <f>IF('FW Flechtwerk'!$B8&gt;0,'FW Flechtwerk'!M8)</f>
        <v>0</v>
      </c>
      <c r="O127" s="966" t="b">
        <f>IF('FW Flechtwerk'!$B8&gt;0,'FW Flechtwerk'!N8)</f>
        <v>0</v>
      </c>
      <c r="P127" s="783"/>
    </row>
    <row r="128" spans="5:16" ht="12.75" customHeight="1" x14ac:dyDescent="0.2">
      <c r="E128" s="956" t="b">
        <f>IF('FW Flechtwerk'!$B9&gt;0,'FW Flechtwerk'!B9)</f>
        <v>0</v>
      </c>
      <c r="F128" s="956" t="b">
        <f>IF('FW Flechtwerk'!$B9&gt;0,'FW Flechtwerk'!C9)</f>
        <v>0</v>
      </c>
      <c r="G128" s="956" t="b">
        <f>IF('FW Flechtwerk'!$B9&gt;0,'FW Flechtwerk'!D9)</f>
        <v>0</v>
      </c>
      <c r="H128" s="966" t="b">
        <f>IF('FW Flechtwerk'!$B9&gt;0,'FW Flechtwerk'!E9)</f>
        <v>0</v>
      </c>
      <c r="I128" s="966" t="b">
        <f>IF('FW Flechtwerk'!$B9&gt;0,'FW Flechtwerk'!F9)</f>
        <v>0</v>
      </c>
      <c r="J128" s="966" t="b">
        <f>IF('FW Flechtwerk'!$B9&gt;0,'FW Flechtwerk'!G9)</f>
        <v>0</v>
      </c>
      <c r="K128" s="955"/>
      <c r="L128" s="955"/>
      <c r="M128" s="1042" t="b">
        <f>IF('FW Flechtwerk'!$B9&gt;0,'FW Flechtwerk'!I9)</f>
        <v>0</v>
      </c>
      <c r="N128" s="1045" t="b">
        <f>IF('FW Flechtwerk'!$B9&gt;0,'FW Flechtwerk'!M9)</f>
        <v>0</v>
      </c>
      <c r="O128" s="966" t="b">
        <f>IF('FW Flechtwerk'!$B9&gt;0,'FW Flechtwerk'!N9)</f>
        <v>0</v>
      </c>
      <c r="P128" s="783"/>
    </row>
    <row r="129" spans="5:16" ht="12.75" customHeight="1" x14ac:dyDescent="0.2">
      <c r="E129" s="956" t="b">
        <f>IF('FW Flechtwerk'!$B10&gt;0,'FW Flechtwerk'!B10)</f>
        <v>0</v>
      </c>
      <c r="F129" s="956" t="b">
        <f>IF('FW Flechtwerk'!$B10&gt;0,'FW Flechtwerk'!C10)</f>
        <v>0</v>
      </c>
      <c r="G129" s="956" t="b">
        <f>IF('FW Flechtwerk'!$B10&gt;0,'FW Flechtwerk'!D10)</f>
        <v>0</v>
      </c>
      <c r="H129" s="966" t="b">
        <f>IF('FW Flechtwerk'!$B10&gt;0,'FW Flechtwerk'!E10)</f>
        <v>0</v>
      </c>
      <c r="I129" s="966" t="b">
        <f>IF('FW Flechtwerk'!$B10&gt;0,'FW Flechtwerk'!F10)</f>
        <v>0</v>
      </c>
      <c r="J129" s="966" t="b">
        <f>IF('FW Flechtwerk'!$B10&gt;0,'FW Flechtwerk'!G10)</f>
        <v>0</v>
      </c>
      <c r="K129" s="955"/>
      <c r="L129" s="955"/>
      <c r="M129" s="1042" t="b">
        <f>IF('FW Flechtwerk'!$B10&gt;0,'FW Flechtwerk'!I10)</f>
        <v>0</v>
      </c>
      <c r="N129" s="1045" t="b">
        <f>IF('FW Flechtwerk'!$B10&gt;0,'FW Flechtwerk'!M10)</f>
        <v>0</v>
      </c>
      <c r="O129" s="966" t="b">
        <f>IF('FW Flechtwerk'!$B10&gt;0,'FW Flechtwerk'!N10)</f>
        <v>0</v>
      </c>
      <c r="P129" s="783"/>
    </row>
    <row r="130" spans="5:16" ht="12.75" customHeight="1" x14ac:dyDescent="0.2">
      <c r="E130" s="956" t="b">
        <f>IF('FW Flechtwerk'!$B11&gt;0,'FW Flechtwerk'!B11)</f>
        <v>0</v>
      </c>
      <c r="F130" s="956" t="b">
        <f>IF('FW Flechtwerk'!$B11&gt;0,'FW Flechtwerk'!C11)</f>
        <v>0</v>
      </c>
      <c r="G130" s="956" t="b">
        <f>IF('FW Flechtwerk'!$B11&gt;0,'FW Flechtwerk'!D11)</f>
        <v>0</v>
      </c>
      <c r="H130" s="966" t="b">
        <f>IF('FW Flechtwerk'!$B11&gt;0,'FW Flechtwerk'!E11)</f>
        <v>0</v>
      </c>
      <c r="I130" s="966" t="b">
        <f>IF('FW Flechtwerk'!$B11&gt;0,'FW Flechtwerk'!F11)</f>
        <v>0</v>
      </c>
      <c r="J130" s="966" t="b">
        <f>IF('FW Flechtwerk'!$B11&gt;0,'FW Flechtwerk'!G11)</f>
        <v>0</v>
      </c>
      <c r="K130" s="955"/>
      <c r="L130" s="955"/>
      <c r="M130" s="1042" t="b">
        <f>IF('FW Flechtwerk'!$B11&gt;0,'FW Flechtwerk'!I11)</f>
        <v>0</v>
      </c>
      <c r="N130" s="1045" t="b">
        <f>IF('FW Flechtwerk'!$B11&gt;0,'FW Flechtwerk'!M11)</f>
        <v>0</v>
      </c>
      <c r="O130" s="966" t="b">
        <f>IF('FW Flechtwerk'!$B11&gt;0,'FW Flechtwerk'!N11)</f>
        <v>0</v>
      </c>
      <c r="P130" s="783"/>
    </row>
    <row r="131" spans="5:16" ht="12.75" customHeight="1" x14ac:dyDescent="0.2">
      <c r="E131" s="956" t="b">
        <f>IF('FW Flechtwerk'!$B12&gt;0,'FW Flechtwerk'!B12)</f>
        <v>0</v>
      </c>
      <c r="F131" s="956" t="b">
        <f>IF('FW Flechtwerk'!$B12&gt;0,'FW Flechtwerk'!C12)</f>
        <v>0</v>
      </c>
      <c r="G131" s="956" t="b">
        <f>IF('FW Flechtwerk'!$B12&gt;0,'FW Flechtwerk'!D12)</f>
        <v>0</v>
      </c>
      <c r="H131" s="966" t="b">
        <f>IF('FW Flechtwerk'!$B12&gt;0,'FW Flechtwerk'!E12)</f>
        <v>0</v>
      </c>
      <c r="I131" s="966" t="b">
        <f>IF('FW Flechtwerk'!$B12&gt;0,'FW Flechtwerk'!F12)</f>
        <v>0</v>
      </c>
      <c r="J131" s="966" t="b">
        <f>IF('FW Flechtwerk'!$B12&gt;0,'FW Flechtwerk'!G12)</f>
        <v>0</v>
      </c>
      <c r="K131" s="955"/>
      <c r="L131" s="955"/>
      <c r="M131" s="1042" t="b">
        <f>IF('FW Flechtwerk'!$B12&gt;0,'FW Flechtwerk'!I12)</f>
        <v>0</v>
      </c>
      <c r="N131" s="1045" t="b">
        <f>IF('FW Flechtwerk'!$B12&gt;0,'FW Flechtwerk'!M12)</f>
        <v>0</v>
      </c>
      <c r="O131" s="966" t="b">
        <f>IF('FW Flechtwerk'!$B12&gt;0,'FW Flechtwerk'!N12)</f>
        <v>0</v>
      </c>
      <c r="P131" s="783"/>
    </row>
    <row r="132" spans="5:16" ht="12.75" customHeight="1" x14ac:dyDescent="0.2">
      <c r="E132" s="956" t="b">
        <f>IF('FW Flechtwerk'!$B13&gt;0,'FW Flechtwerk'!B13)</f>
        <v>0</v>
      </c>
      <c r="F132" s="956" t="b">
        <f>IF('FW Flechtwerk'!$B13&gt;0,'FW Flechtwerk'!C13)</f>
        <v>0</v>
      </c>
      <c r="G132" s="956" t="b">
        <f>IF('FW Flechtwerk'!$B13&gt;0,'FW Flechtwerk'!D13)</f>
        <v>0</v>
      </c>
      <c r="H132" s="966" t="b">
        <f>IF('FW Flechtwerk'!$B13&gt;0,'FW Flechtwerk'!E13)</f>
        <v>0</v>
      </c>
      <c r="I132" s="966" t="b">
        <f>IF('FW Flechtwerk'!$B13&gt;0,'FW Flechtwerk'!F13)</f>
        <v>0</v>
      </c>
      <c r="J132" s="966" t="b">
        <f>IF('FW Flechtwerk'!$B13&gt;0,'FW Flechtwerk'!G13)</f>
        <v>0</v>
      </c>
      <c r="K132" s="955"/>
      <c r="L132" s="955"/>
      <c r="M132" s="1042" t="b">
        <f>IF('FW Flechtwerk'!$B13&gt;0,'FW Flechtwerk'!I13)</f>
        <v>0</v>
      </c>
      <c r="N132" s="1045" t="b">
        <f>IF('FW Flechtwerk'!$B13&gt;0,'FW Flechtwerk'!M13)</f>
        <v>0</v>
      </c>
      <c r="O132" s="966" t="b">
        <f>IF('FW Flechtwerk'!$B13&gt;0,'FW Flechtwerk'!N13)</f>
        <v>0</v>
      </c>
      <c r="P132" s="783"/>
    </row>
    <row r="133" spans="5:16" ht="12.75" customHeight="1" x14ac:dyDescent="0.2">
      <c r="E133" s="956" t="b">
        <f>IF('FW Flechtwerk'!$B14&gt;0,'FW Flechtwerk'!B14)</f>
        <v>0</v>
      </c>
      <c r="F133" s="956" t="b">
        <f>IF('FW Flechtwerk'!$B14&gt;0,'FW Flechtwerk'!C14)</f>
        <v>0</v>
      </c>
      <c r="G133" s="956" t="b">
        <f>IF('FW Flechtwerk'!$B14&gt;0,'FW Flechtwerk'!D14)</f>
        <v>0</v>
      </c>
      <c r="H133" s="966" t="b">
        <f>IF('FW Flechtwerk'!$B14&gt;0,'FW Flechtwerk'!E14)</f>
        <v>0</v>
      </c>
      <c r="I133" s="966" t="b">
        <f>IF('FW Flechtwerk'!$B14&gt;0,'FW Flechtwerk'!F14)</f>
        <v>0</v>
      </c>
      <c r="J133" s="966" t="b">
        <f>IF('FW Flechtwerk'!$B14&gt;0,'FW Flechtwerk'!G14)</f>
        <v>0</v>
      </c>
      <c r="K133" s="955"/>
      <c r="L133" s="955"/>
      <c r="M133" s="1042" t="b">
        <f>IF('FW Flechtwerk'!$B14&gt;0,'FW Flechtwerk'!I14)</f>
        <v>0</v>
      </c>
      <c r="N133" s="1045" t="b">
        <f>IF('FW Flechtwerk'!$B14&gt;0,'FW Flechtwerk'!M14)</f>
        <v>0</v>
      </c>
      <c r="O133" s="966" t="b">
        <f>IF('FW Flechtwerk'!$B14&gt;0,'FW Flechtwerk'!N14)</f>
        <v>0</v>
      </c>
      <c r="P133" s="783"/>
    </row>
    <row r="134" spans="5:16" ht="12.75" customHeight="1" x14ac:dyDescent="0.2">
      <c r="E134" s="956" t="b">
        <f>IF('FW Flechtwerk'!$B15&gt;0,'FW Flechtwerk'!B15)</f>
        <v>0</v>
      </c>
      <c r="F134" s="956" t="b">
        <f>IF('FW Flechtwerk'!$B15&gt;0,'FW Flechtwerk'!C15)</f>
        <v>0</v>
      </c>
      <c r="G134" s="956" t="b">
        <f>IF('FW Flechtwerk'!$B15&gt;0,'FW Flechtwerk'!D15)</f>
        <v>0</v>
      </c>
      <c r="H134" s="966" t="b">
        <f>IF('FW Flechtwerk'!$B15&gt;0,'FW Flechtwerk'!E15)</f>
        <v>0</v>
      </c>
      <c r="I134" s="966" t="b">
        <f>IF('FW Flechtwerk'!$B15&gt;0,'FW Flechtwerk'!F15)</f>
        <v>0</v>
      </c>
      <c r="J134" s="966" t="b">
        <f>IF('FW Flechtwerk'!$B15&gt;0,'FW Flechtwerk'!G15)</f>
        <v>0</v>
      </c>
      <c r="K134" s="955"/>
      <c r="L134" s="955"/>
      <c r="M134" s="1042" t="b">
        <f>IF('FW Flechtwerk'!$B15&gt;0,'FW Flechtwerk'!I15)</f>
        <v>0</v>
      </c>
      <c r="N134" s="1045" t="b">
        <f>IF('FW Flechtwerk'!$B15&gt;0,'FW Flechtwerk'!M15)</f>
        <v>0</v>
      </c>
      <c r="O134" s="966" t="b">
        <f>IF('FW Flechtwerk'!$B15&gt;0,'FW Flechtwerk'!N15)</f>
        <v>0</v>
      </c>
      <c r="P134" s="783"/>
    </row>
    <row r="135" spans="5:16" ht="12.75" customHeight="1" x14ac:dyDescent="0.2">
      <c r="E135" s="1037" t="b">
        <f>IF('FW Flechtwerk'!$B16&gt;0,'FW Flechtwerk'!B16)</f>
        <v>0</v>
      </c>
      <c r="F135" s="956" t="b">
        <f>IF('FW Flechtwerk'!$B16&gt;0,'FW Flechtwerk'!C16)</f>
        <v>0</v>
      </c>
      <c r="G135" s="956" t="b">
        <f>IF('FW Flechtwerk'!$B16&gt;0,'FW Flechtwerk'!D16)</f>
        <v>0</v>
      </c>
      <c r="H135" s="966" t="b">
        <f>IF('FW Flechtwerk'!$B16&gt;0,'FW Flechtwerk'!E16)</f>
        <v>0</v>
      </c>
      <c r="I135" s="966" t="b">
        <f>IF('FW Flechtwerk'!$B16&gt;0,'FW Flechtwerk'!F16)</f>
        <v>0</v>
      </c>
      <c r="J135" s="966" t="b">
        <f>IF('FW Flechtwerk'!$B16&gt;0,'FW Flechtwerk'!G16)</f>
        <v>0</v>
      </c>
      <c r="K135" s="955"/>
      <c r="L135" s="955"/>
      <c r="M135" s="1042" t="b">
        <f>IF('FW Flechtwerk'!$B16&gt;0,'FW Flechtwerk'!I16)</f>
        <v>0</v>
      </c>
      <c r="N135" s="1045" t="b">
        <f>IF('FW Flechtwerk'!$B16&gt;0,'FW Flechtwerk'!M16)</f>
        <v>0</v>
      </c>
      <c r="O135" s="966" t="b">
        <f>IF('FW Flechtwerk'!$B16&gt;0,'FW Flechtwerk'!N16)</f>
        <v>0</v>
      </c>
      <c r="P135" s="783"/>
    </row>
    <row r="136" spans="5:16" ht="12.75" customHeight="1" x14ac:dyDescent="0.2">
      <c r="E136" s="956" t="b">
        <f>IF(Kalkputz!$B8&gt;0,Kalkputz!B8)</f>
        <v>0</v>
      </c>
      <c r="F136" s="956" t="b">
        <f>IF(Kalkputz!$B8&gt;0,Kalkputz!C8)</f>
        <v>0</v>
      </c>
      <c r="G136" s="956" t="b">
        <f>IF(Kalkputz!$B8&gt;0,Kalkputz!D8)</f>
        <v>0</v>
      </c>
      <c r="H136" s="966" t="b">
        <f>IF(Kalkputz!$B8&gt;0,Kalkputz!E8)</f>
        <v>0</v>
      </c>
      <c r="I136" s="966" t="b">
        <f>IF(Kalkputz!$B8&gt;0,Kalkputz!F8)</f>
        <v>0</v>
      </c>
      <c r="J136" s="966" t="b">
        <f>IF(Kalkputz!$B8&gt;0,Kalkputz!G8)</f>
        <v>0</v>
      </c>
      <c r="K136" s="955"/>
      <c r="L136" s="955"/>
      <c r="M136" s="1042" t="b">
        <f>IF(Kalkputz!$B8&gt;0,Kalkputz!I8)</f>
        <v>0</v>
      </c>
      <c r="N136" s="1045" t="b">
        <f>IF(Kalkputz!$B8&gt;0,Kalkputz!U8)</f>
        <v>0</v>
      </c>
      <c r="O136" s="966" t="b">
        <f>IF(Kalkputz!$B8&gt;0,Kalkputz!V8)</f>
        <v>0</v>
      </c>
      <c r="P136" s="783"/>
    </row>
    <row r="137" spans="5:16" ht="12.75" customHeight="1" x14ac:dyDescent="0.2">
      <c r="E137" s="956" t="b">
        <f>IF(Kalkputz!$B9&gt;0,Kalkputz!B9)</f>
        <v>0</v>
      </c>
      <c r="F137" s="956" t="b">
        <f>IF(Kalkputz!$B9&gt;0,Kalkputz!C9)</f>
        <v>0</v>
      </c>
      <c r="G137" s="956" t="b">
        <f>IF(Kalkputz!$B9&gt;0,Kalkputz!D9)</f>
        <v>0</v>
      </c>
      <c r="H137" s="966" t="b">
        <f>IF(Kalkputz!$B9&gt;0,Kalkputz!E9)</f>
        <v>0</v>
      </c>
      <c r="I137" s="966" t="b">
        <f>IF(Kalkputz!$B9&gt;0,Kalkputz!F9)</f>
        <v>0</v>
      </c>
      <c r="J137" s="966" t="b">
        <f>IF(Kalkputz!$B9&gt;0,Kalkputz!G9)</f>
        <v>0</v>
      </c>
      <c r="K137" s="955"/>
      <c r="L137" s="955"/>
      <c r="M137" s="1042" t="b">
        <f>IF(Kalkputz!$B9&gt;0,Kalkputz!I9)</f>
        <v>0</v>
      </c>
      <c r="N137" s="1045" t="b">
        <f>IF(Kalkputz!$B9&gt;0,Kalkputz!U9)</f>
        <v>0</v>
      </c>
      <c r="O137" s="966" t="b">
        <f>IF(Kalkputz!$B9&gt;0,Kalkputz!V9)</f>
        <v>0</v>
      </c>
      <c r="P137" s="783"/>
    </row>
    <row r="138" spans="5:16" ht="12.75" customHeight="1" x14ac:dyDescent="0.2">
      <c r="E138" s="956" t="b">
        <f>IF(Kalkputz!$B10&gt;0,Kalkputz!B10)</f>
        <v>0</v>
      </c>
      <c r="F138" s="956" t="b">
        <f>IF(Kalkputz!$B10&gt;0,Kalkputz!C10)</f>
        <v>0</v>
      </c>
      <c r="G138" s="956" t="b">
        <f>IF(Kalkputz!$B10&gt;0,Kalkputz!D10)</f>
        <v>0</v>
      </c>
      <c r="H138" s="966" t="b">
        <f>IF(Kalkputz!$B10&gt;0,Kalkputz!E10)</f>
        <v>0</v>
      </c>
      <c r="I138" s="966" t="b">
        <f>IF(Kalkputz!$B10&gt;0,Kalkputz!F10)</f>
        <v>0</v>
      </c>
      <c r="J138" s="966" t="b">
        <f>IF(Kalkputz!$B10&gt;0,Kalkputz!G10)</f>
        <v>0</v>
      </c>
      <c r="K138" s="955"/>
      <c r="L138" s="955"/>
      <c r="M138" s="1042" t="b">
        <f>IF(Kalkputz!$B10&gt;0,Kalkputz!I10)</f>
        <v>0</v>
      </c>
      <c r="N138" s="1045" t="b">
        <f>IF(Kalkputz!$B10&gt;0,Kalkputz!U10)</f>
        <v>0</v>
      </c>
      <c r="O138" s="966" t="b">
        <f>IF(Kalkputz!$B10&gt;0,Kalkputz!V10)</f>
        <v>0</v>
      </c>
      <c r="P138" s="783"/>
    </row>
    <row r="139" spans="5:16" ht="12.75" customHeight="1" x14ac:dyDescent="0.2">
      <c r="E139" s="956" t="b">
        <f>IF(Kalkputz!$B11&gt;0,Kalkputz!B11)</f>
        <v>0</v>
      </c>
      <c r="F139" s="956" t="b">
        <f>IF(Kalkputz!$B11&gt;0,Kalkputz!C11)</f>
        <v>0</v>
      </c>
      <c r="G139" s="956" t="b">
        <f>IF(Kalkputz!$B11&gt;0,Kalkputz!D11)</f>
        <v>0</v>
      </c>
      <c r="H139" s="966" t="b">
        <f>IF(Kalkputz!$B11&gt;0,Kalkputz!E11)</f>
        <v>0</v>
      </c>
      <c r="I139" s="966" t="b">
        <f>IF(Kalkputz!$B11&gt;0,Kalkputz!F11)</f>
        <v>0</v>
      </c>
      <c r="J139" s="966" t="b">
        <f>IF(Kalkputz!$B11&gt;0,Kalkputz!G11)</f>
        <v>0</v>
      </c>
      <c r="K139" s="955"/>
      <c r="L139" s="955"/>
      <c r="M139" s="1042" t="b">
        <f>IF(Kalkputz!$B11&gt;0,Kalkputz!I11)</f>
        <v>0</v>
      </c>
      <c r="N139" s="1045" t="b">
        <f>IF(Kalkputz!$B11&gt;0,Kalkputz!U11)</f>
        <v>0</v>
      </c>
      <c r="O139" s="966" t="b">
        <f>IF(Kalkputz!$B11&gt;0,Kalkputz!V11)</f>
        <v>0</v>
      </c>
      <c r="P139" s="783"/>
    </row>
    <row r="140" spans="5:16" ht="12.75" customHeight="1" x14ac:dyDescent="0.2">
      <c r="E140" s="956" t="b">
        <f>IF(Kalkputz!$B12&gt;0,Kalkputz!B12)</f>
        <v>0</v>
      </c>
      <c r="F140" s="956" t="b">
        <f>IF(Kalkputz!$B12&gt;0,Kalkputz!C12)</f>
        <v>0</v>
      </c>
      <c r="G140" s="956" t="b">
        <f>IF(Kalkputz!$B12&gt;0,Kalkputz!D12)</f>
        <v>0</v>
      </c>
      <c r="H140" s="966" t="b">
        <f>IF(Kalkputz!$B12&gt;0,Kalkputz!E12)</f>
        <v>0</v>
      </c>
      <c r="I140" s="966" t="b">
        <f>IF(Kalkputz!$B12&gt;0,Kalkputz!F12)</f>
        <v>0</v>
      </c>
      <c r="J140" s="966" t="b">
        <f>IF(Kalkputz!$B12&gt;0,Kalkputz!G12)</f>
        <v>0</v>
      </c>
      <c r="K140" s="955"/>
      <c r="L140" s="955"/>
      <c r="M140" s="1042" t="b">
        <f>IF(Kalkputz!$B12&gt;0,Kalkputz!I12)</f>
        <v>0</v>
      </c>
      <c r="N140" s="1045" t="b">
        <f>IF(Kalkputz!$B12&gt;0,Kalkputz!U12)</f>
        <v>0</v>
      </c>
      <c r="O140" s="966" t="b">
        <f>IF(Kalkputz!$B12&gt;0,Kalkputz!V12)</f>
        <v>0</v>
      </c>
      <c r="P140" s="783"/>
    </row>
    <row r="141" spans="5:16" ht="12.75" customHeight="1" x14ac:dyDescent="0.2">
      <c r="E141" s="956" t="b">
        <f>IF(Kalkputz!$B13&gt;0,Kalkputz!B13)</f>
        <v>0</v>
      </c>
      <c r="F141" s="956" t="b">
        <f>IF(Kalkputz!$B13&gt;0,Kalkputz!C13)</f>
        <v>0</v>
      </c>
      <c r="G141" s="956" t="b">
        <f>IF(Kalkputz!$B13&gt;0,Kalkputz!D13)</f>
        <v>0</v>
      </c>
      <c r="H141" s="966" t="b">
        <f>IF(Kalkputz!$B13&gt;0,Kalkputz!E13)</f>
        <v>0</v>
      </c>
      <c r="I141" s="966" t="b">
        <f>IF(Kalkputz!$B13&gt;0,Kalkputz!F13)</f>
        <v>0</v>
      </c>
      <c r="J141" s="966" t="b">
        <f>IF(Kalkputz!$B13&gt;0,Kalkputz!G13)</f>
        <v>0</v>
      </c>
      <c r="K141" s="955"/>
      <c r="L141" s="955"/>
      <c r="M141" s="1042" t="b">
        <f>IF(Kalkputz!$B13&gt;0,Kalkputz!I13)</f>
        <v>0</v>
      </c>
      <c r="N141" s="1045" t="b">
        <f>IF(Kalkputz!$B13&gt;0,Kalkputz!U13)</f>
        <v>0</v>
      </c>
      <c r="O141" s="966" t="b">
        <f>IF(Kalkputz!$B13&gt;0,Kalkputz!V13)</f>
        <v>0</v>
      </c>
      <c r="P141" s="783"/>
    </row>
    <row r="142" spans="5:16" ht="12.75" customHeight="1" x14ac:dyDescent="0.2">
      <c r="E142" s="956" t="b">
        <f>IF(Kalkputz!$B14&gt;0,Kalkputz!B14)</f>
        <v>0</v>
      </c>
      <c r="F142" s="956" t="b">
        <f>IF(Kalkputz!$B14&gt;0,Kalkputz!C14)</f>
        <v>0</v>
      </c>
      <c r="G142" s="956" t="b">
        <f>IF(Kalkputz!$B14&gt;0,Kalkputz!D14)</f>
        <v>0</v>
      </c>
      <c r="H142" s="966" t="b">
        <f>IF(Kalkputz!$B14&gt;0,Kalkputz!E14)</f>
        <v>0</v>
      </c>
      <c r="I142" s="966" t="b">
        <f>IF(Kalkputz!$B14&gt;0,Kalkputz!F14)</f>
        <v>0</v>
      </c>
      <c r="J142" s="966" t="b">
        <f>IF(Kalkputz!$B14&gt;0,Kalkputz!G14)</f>
        <v>0</v>
      </c>
      <c r="K142" s="955"/>
      <c r="L142" s="955"/>
      <c r="M142" s="1042" t="b">
        <f>IF(Kalkputz!$B14&gt;0,Kalkputz!I14)</f>
        <v>0</v>
      </c>
      <c r="N142" s="1045" t="b">
        <f>IF(Kalkputz!$B14&gt;0,Kalkputz!U14)</f>
        <v>0</v>
      </c>
      <c r="O142" s="966" t="b">
        <f>IF(Kalkputz!$B14&gt;0,Kalkputz!V14)</f>
        <v>0</v>
      </c>
      <c r="P142" s="783"/>
    </row>
    <row r="143" spans="5:16" ht="12.75" customHeight="1" x14ac:dyDescent="0.2">
      <c r="E143" s="956" t="b">
        <f>IF(Kalkputz!$B15&gt;0,Kalkputz!B15)</f>
        <v>0</v>
      </c>
      <c r="F143" s="956" t="b">
        <f>IF(Kalkputz!$B15&gt;0,Kalkputz!C15)</f>
        <v>0</v>
      </c>
      <c r="G143" s="956" t="b">
        <f>IF(Kalkputz!$B15&gt;0,Kalkputz!D15)</f>
        <v>0</v>
      </c>
      <c r="H143" s="966" t="b">
        <f>IF(Kalkputz!$B15&gt;0,Kalkputz!E15)</f>
        <v>0</v>
      </c>
      <c r="I143" s="966" t="b">
        <f>IF(Kalkputz!$B15&gt;0,Kalkputz!F15)</f>
        <v>0</v>
      </c>
      <c r="J143" s="966" t="b">
        <f>IF(Kalkputz!$B15&gt;0,Kalkputz!G15)</f>
        <v>0</v>
      </c>
      <c r="K143" s="955"/>
      <c r="L143" s="955"/>
      <c r="M143" s="1042" t="b">
        <f>IF(Kalkputz!$B15&gt;0,Kalkputz!I15)</f>
        <v>0</v>
      </c>
      <c r="N143" s="1045" t="b">
        <f>IF(Kalkputz!$B15&gt;0,Kalkputz!U15)</f>
        <v>0</v>
      </c>
      <c r="O143" s="966" t="b">
        <f>IF(Kalkputz!$B15&gt;0,Kalkputz!V15)</f>
        <v>0</v>
      </c>
      <c r="P143" s="783"/>
    </row>
    <row r="144" spans="5:16" ht="12.75" customHeight="1" x14ac:dyDescent="0.2">
      <c r="E144" s="956" t="b">
        <f>IF(Kalkputz!$B16&gt;0,Kalkputz!B16)</f>
        <v>0</v>
      </c>
      <c r="F144" s="956" t="b">
        <f>IF(Kalkputz!$B16&gt;0,Kalkputz!C16)</f>
        <v>0</v>
      </c>
      <c r="G144" s="956" t="b">
        <f>IF(Kalkputz!$B16&gt;0,Kalkputz!D16)</f>
        <v>0</v>
      </c>
      <c r="H144" s="966" t="b">
        <f>IF(Kalkputz!$B16&gt;0,Kalkputz!E16)</f>
        <v>0</v>
      </c>
      <c r="I144" s="966" t="b">
        <f>IF(Kalkputz!$B16&gt;0,Kalkputz!F16)</f>
        <v>0</v>
      </c>
      <c r="J144" s="966" t="b">
        <f>IF(Kalkputz!$B16&gt;0,Kalkputz!G16)</f>
        <v>0</v>
      </c>
      <c r="K144" s="955"/>
      <c r="L144" s="955"/>
      <c r="M144" s="1042" t="b">
        <f>IF(Kalkputz!$B16&gt;0,Kalkputz!I16)</f>
        <v>0</v>
      </c>
      <c r="N144" s="1045" t="b">
        <f>IF(Kalkputz!$B16&gt;0,Kalkputz!U16)</f>
        <v>0</v>
      </c>
      <c r="O144" s="966" t="b">
        <f>IF(Kalkputz!$B16&gt;0,Kalkputz!V16)</f>
        <v>0</v>
      </c>
      <c r="P144" s="972"/>
    </row>
    <row r="145" spans="5:16" ht="12.75" customHeight="1" x14ac:dyDescent="0.2">
      <c r="E145" s="1037" t="b">
        <f>IF(Kalkputz!$B17&gt;0,Kalkputz!B17)</f>
        <v>0</v>
      </c>
      <c r="F145" s="956" t="b">
        <f>IF(Kalkputz!$B17&gt;0,Kalkputz!C17)</f>
        <v>0</v>
      </c>
      <c r="G145" s="956" t="b">
        <f>IF(Kalkputz!$B17&gt;0,Kalkputz!D17)</f>
        <v>0</v>
      </c>
      <c r="H145" s="966" t="b">
        <f>IF(Kalkputz!$B17&gt;0,Kalkputz!E17)</f>
        <v>0</v>
      </c>
      <c r="I145" s="966" t="b">
        <f>IF(Kalkputz!$B17&gt;0,Kalkputz!F17)</f>
        <v>0</v>
      </c>
      <c r="J145" s="966" t="b">
        <f>IF(Kalkputz!$B17&gt;0,Kalkputz!G17)</f>
        <v>0</v>
      </c>
      <c r="K145" s="955"/>
      <c r="L145" s="955"/>
      <c r="M145" s="1042" t="b">
        <f>IF(Kalkputz!$B17&gt;0,Kalkputz!I17)</f>
        <v>0</v>
      </c>
      <c r="N145" s="1045" t="b">
        <f>IF(Kalkputz!$B17&gt;0,Kalkputz!U17)</f>
        <v>0</v>
      </c>
      <c r="O145" s="966" t="b">
        <f>IF(Kalkputz!$B17&gt;0,Kalkputz!V17)</f>
        <v>0</v>
      </c>
      <c r="P145" s="972"/>
    </row>
    <row r="146" spans="5:16" ht="12.75" customHeight="1" x14ac:dyDescent="0.2">
      <c r="E146" s="956" t="b">
        <f>IF('Innend. HFD'!$B8&gt;0,'Innend. HFD'!B8)</f>
        <v>0</v>
      </c>
      <c r="F146" s="956" t="b">
        <f>IF('Innend. HFD'!$B8&gt;0,'Innend. HFD'!C8)</f>
        <v>0</v>
      </c>
      <c r="G146" s="956" t="b">
        <f>IF('Innend. HFD'!$B8&gt;0,'Innend. HFD'!D8)</f>
        <v>0</v>
      </c>
      <c r="H146" s="966" t="b">
        <f>IF('Innend. HFD'!$B8&gt;0,'Innend. HFD'!E8)</f>
        <v>0</v>
      </c>
      <c r="I146" s="966" t="b">
        <f>IF('Innend. HFD'!$B8&gt;0,'Innend. HFD'!F8)</f>
        <v>0</v>
      </c>
      <c r="J146" s="966" t="b">
        <f>IF('Innend. HFD'!$B8&gt;0,'Innend. HFD'!G8)</f>
        <v>0</v>
      </c>
      <c r="K146" s="955"/>
      <c r="L146" s="955"/>
      <c r="M146" s="1042" t="b">
        <f>IF('Innend. HFD'!$B8&gt;0,'Innend. HFD'!I8)</f>
        <v>0</v>
      </c>
      <c r="N146" s="1045" t="b">
        <f>IF('Innend. HFD'!$B8&gt;0,'Innend. HFD'!U8)</f>
        <v>0</v>
      </c>
      <c r="O146" s="966" t="b">
        <f>IF('Innend. HFD'!$B8&gt;0,'Innend. HFD'!V8)</f>
        <v>0</v>
      </c>
      <c r="P146" s="972"/>
    </row>
    <row r="147" spans="5:16" ht="12.75" customHeight="1" x14ac:dyDescent="0.2">
      <c r="E147" s="956" t="b">
        <f>IF('Innend. HFD'!$B9&gt;0,'Innend. HFD'!B9)</f>
        <v>0</v>
      </c>
      <c r="F147" s="956" t="b">
        <f>IF('Innend. HFD'!$B9&gt;0,'Innend. HFD'!C9)</f>
        <v>0</v>
      </c>
      <c r="G147" s="956" t="b">
        <f>IF('Innend. HFD'!$B9&gt;0,'Innend. HFD'!D9)</f>
        <v>0</v>
      </c>
      <c r="H147" s="966" t="b">
        <f>IF('Innend. HFD'!$B9&gt;0,'Innend. HFD'!E9)</f>
        <v>0</v>
      </c>
      <c r="I147" s="966" t="b">
        <f>IF('Innend. HFD'!$B9&gt;0,'Innend. HFD'!F9)</f>
        <v>0</v>
      </c>
      <c r="J147" s="966" t="b">
        <f>IF('Innend. HFD'!$B9&gt;0,'Innend. HFD'!G9)</f>
        <v>0</v>
      </c>
      <c r="K147" s="955"/>
      <c r="L147" s="955"/>
      <c r="M147" s="1042" t="b">
        <f>IF('Innend. HFD'!$B9&gt;0,'Innend. HFD'!I9)</f>
        <v>0</v>
      </c>
      <c r="N147" s="1045" t="b">
        <f>IF('Innend. HFD'!$B9&gt;0,'Innend. HFD'!U9)</f>
        <v>0</v>
      </c>
      <c r="O147" s="966" t="b">
        <f>IF('Innend. HFD'!$B9&gt;0,'Innend. HFD'!V9)</f>
        <v>0</v>
      </c>
      <c r="P147" s="972"/>
    </row>
    <row r="148" spans="5:16" ht="12.75" customHeight="1" x14ac:dyDescent="0.2">
      <c r="E148" s="956" t="b">
        <f>IF('Innend. HFD'!$B10&gt;0,'Innend. HFD'!B10)</f>
        <v>0</v>
      </c>
      <c r="F148" s="956" t="b">
        <f>IF('Innend. HFD'!$B10&gt;0,'Innend. HFD'!C10)</f>
        <v>0</v>
      </c>
      <c r="G148" s="956" t="b">
        <f>IF('Innend. HFD'!$B10&gt;0,'Innend. HFD'!D10)</f>
        <v>0</v>
      </c>
      <c r="H148" s="966" t="b">
        <f>IF('Innend. HFD'!$B10&gt;0,'Innend. HFD'!E10)</f>
        <v>0</v>
      </c>
      <c r="I148" s="966" t="b">
        <f>IF('Innend. HFD'!$B10&gt;0,'Innend. HFD'!F10)</f>
        <v>0</v>
      </c>
      <c r="J148" s="966" t="b">
        <f>IF('Innend. HFD'!$B10&gt;0,'Innend. HFD'!G10)</f>
        <v>0</v>
      </c>
      <c r="K148" s="955"/>
      <c r="L148" s="955"/>
      <c r="M148" s="1042" t="b">
        <f>IF('Innend. HFD'!$B10&gt;0,'Innend. HFD'!I10)</f>
        <v>0</v>
      </c>
      <c r="N148" s="1045" t="b">
        <f>IF('Innend. HFD'!$B10&gt;0,'Innend. HFD'!U10)</f>
        <v>0</v>
      </c>
      <c r="O148" s="966" t="b">
        <f>IF('Innend. HFD'!$B10&gt;0,'Innend. HFD'!V10)</f>
        <v>0</v>
      </c>
      <c r="P148" s="972"/>
    </row>
    <row r="149" spans="5:16" ht="12.75" customHeight="1" x14ac:dyDescent="0.2">
      <c r="E149" s="956" t="b">
        <f>IF('Innend. HFD'!$B11&gt;0,'Innend. HFD'!B11)</f>
        <v>0</v>
      </c>
      <c r="F149" s="956" t="b">
        <f>IF('Innend. HFD'!$B11&gt;0,'Innend. HFD'!C11)</f>
        <v>0</v>
      </c>
      <c r="G149" s="956" t="b">
        <f>IF('Innend. HFD'!$B11&gt;0,'Innend. HFD'!D11)</f>
        <v>0</v>
      </c>
      <c r="H149" s="966" t="b">
        <f>IF('Innend. HFD'!$B11&gt;0,'Innend. HFD'!E11)</f>
        <v>0</v>
      </c>
      <c r="I149" s="966" t="b">
        <f>IF('Innend. HFD'!$B11&gt;0,'Innend. HFD'!F11)</f>
        <v>0</v>
      </c>
      <c r="J149" s="966" t="b">
        <f>IF('Innend. HFD'!$B11&gt;0,'Innend. HFD'!G11)</f>
        <v>0</v>
      </c>
      <c r="K149" s="955"/>
      <c r="L149" s="955"/>
      <c r="M149" s="1042" t="b">
        <f>IF('Innend. HFD'!$B11&gt;0,'Innend. HFD'!I11)</f>
        <v>0</v>
      </c>
      <c r="N149" s="1045" t="b">
        <f>IF('Innend. HFD'!$B11&gt;0,'Innend. HFD'!U11)</f>
        <v>0</v>
      </c>
      <c r="O149" s="966" t="b">
        <f>IF('Innend. HFD'!$B11&gt;0,'Innend. HFD'!V11)</f>
        <v>0</v>
      </c>
      <c r="P149" s="972"/>
    </row>
    <row r="150" spans="5:16" ht="12.75" customHeight="1" x14ac:dyDescent="0.2">
      <c r="E150" s="956" t="b">
        <f>IF('Innend. HFD'!$B12&gt;0,'Innend. HFD'!B12)</f>
        <v>0</v>
      </c>
      <c r="F150" s="956" t="b">
        <f>IF('Innend. HFD'!$B12&gt;0,'Innend. HFD'!C12)</f>
        <v>0</v>
      </c>
      <c r="G150" s="956" t="b">
        <f>IF('Innend. HFD'!$B12&gt;0,'Innend. HFD'!D12)</f>
        <v>0</v>
      </c>
      <c r="H150" s="966" t="b">
        <f>IF('Innend. HFD'!$B12&gt;0,'Innend. HFD'!E12)</f>
        <v>0</v>
      </c>
      <c r="I150" s="966" t="b">
        <f>IF('Innend. HFD'!$B12&gt;0,'Innend. HFD'!F12)</f>
        <v>0</v>
      </c>
      <c r="J150" s="966" t="b">
        <f>IF('Innend. HFD'!$B12&gt;0,'Innend. HFD'!G12)</f>
        <v>0</v>
      </c>
      <c r="K150" s="955"/>
      <c r="L150" s="955"/>
      <c r="M150" s="1042" t="b">
        <f>IF('Innend. HFD'!$B12&gt;0,'Innend. HFD'!I12)</f>
        <v>0</v>
      </c>
      <c r="N150" s="1045" t="b">
        <f>IF('Innend. HFD'!$B12&gt;0,'Innend. HFD'!U12)</f>
        <v>0</v>
      </c>
      <c r="O150" s="966" t="b">
        <f>IF('Innend. HFD'!$B12&gt;0,'Innend. HFD'!V12)</f>
        <v>0</v>
      </c>
      <c r="P150" s="972"/>
    </row>
    <row r="151" spans="5:16" ht="12.75" customHeight="1" x14ac:dyDescent="0.2">
      <c r="E151" s="956" t="b">
        <f>IF('Innend. HFD'!$B13&gt;0,'Innend. HFD'!B13)</f>
        <v>0</v>
      </c>
      <c r="F151" s="956" t="b">
        <f>IF('Innend. HFD'!$B13&gt;0,'Innend. HFD'!C13)</f>
        <v>0</v>
      </c>
      <c r="G151" s="956" t="b">
        <f>IF('Innend. HFD'!$B13&gt;0,'Innend. HFD'!D13)</f>
        <v>0</v>
      </c>
      <c r="H151" s="966" t="b">
        <f>IF('Innend. HFD'!$B13&gt;0,'Innend. HFD'!E13)</f>
        <v>0</v>
      </c>
      <c r="I151" s="966" t="b">
        <f>IF('Innend. HFD'!$B13&gt;0,'Innend. HFD'!F13)</f>
        <v>0</v>
      </c>
      <c r="J151" s="966" t="b">
        <f>IF('Innend. HFD'!$B13&gt;0,'Innend. HFD'!G13)</f>
        <v>0</v>
      </c>
      <c r="K151" s="955"/>
      <c r="L151" s="955"/>
      <c r="M151" s="1042" t="b">
        <f>IF('Innend. HFD'!$B13&gt;0,'Innend. HFD'!I13)</f>
        <v>0</v>
      </c>
      <c r="N151" s="1045" t="b">
        <f>IF('Innend. HFD'!$B13&gt;0,'Innend. HFD'!U13)</f>
        <v>0</v>
      </c>
      <c r="O151" s="966" t="b">
        <f>IF('Innend. HFD'!$B13&gt;0,'Innend. HFD'!V13)</f>
        <v>0</v>
      </c>
      <c r="P151" s="972"/>
    </row>
    <row r="152" spans="5:16" ht="12.75" customHeight="1" x14ac:dyDescent="0.2">
      <c r="E152" s="956" t="b">
        <f>IF('Innend. HFD'!$B14&gt;0,'Innend. HFD'!B14)</f>
        <v>0</v>
      </c>
      <c r="F152" s="956" t="b">
        <f>IF('Innend. HFD'!$B14&gt;0,'Innend. HFD'!C14)</f>
        <v>0</v>
      </c>
      <c r="G152" s="956" t="b">
        <f>IF('Innend. HFD'!$B14&gt;0,'Innend. HFD'!D14)</f>
        <v>0</v>
      </c>
      <c r="H152" s="966" t="b">
        <f>IF('Innend. HFD'!$B14&gt;0,'Innend. HFD'!E14)</f>
        <v>0</v>
      </c>
      <c r="I152" s="966" t="b">
        <f>IF('Innend. HFD'!$B14&gt;0,'Innend. HFD'!F14)</f>
        <v>0</v>
      </c>
      <c r="J152" s="966" t="b">
        <f>IF('Innend. HFD'!$B14&gt;0,'Innend. HFD'!G14)</f>
        <v>0</v>
      </c>
      <c r="K152" s="955"/>
      <c r="L152" s="955"/>
      <c r="M152" s="1042" t="b">
        <f>IF('Innend. HFD'!$B14&gt;0,'Innend. HFD'!I14)</f>
        <v>0</v>
      </c>
      <c r="N152" s="1045" t="b">
        <f>IF('Innend. HFD'!$B14&gt;0,'Innend. HFD'!U14)</f>
        <v>0</v>
      </c>
      <c r="O152" s="966" t="b">
        <f>IF('Innend. HFD'!$B14&gt;0,'Innend. HFD'!V14)</f>
        <v>0</v>
      </c>
      <c r="P152" s="972"/>
    </row>
    <row r="153" spans="5:16" ht="12.75" customHeight="1" x14ac:dyDescent="0.2">
      <c r="E153" s="956" t="b">
        <f>IF('Innend. HFD'!$B15&gt;0,'Innend. HFD'!B15)</f>
        <v>0</v>
      </c>
      <c r="F153" s="956" t="b">
        <f>IF('Innend. HFD'!$B15&gt;0,'Innend. HFD'!C15)</f>
        <v>0</v>
      </c>
      <c r="G153" s="956" t="b">
        <f>IF('Innend. HFD'!$B15&gt;0,'Innend. HFD'!D15)</f>
        <v>0</v>
      </c>
      <c r="H153" s="966" t="b">
        <f>IF('Innend. HFD'!$B15&gt;0,'Innend. HFD'!E15)</f>
        <v>0</v>
      </c>
      <c r="I153" s="966" t="b">
        <f>IF('Innend. HFD'!$B15&gt;0,'Innend. HFD'!F15)</f>
        <v>0</v>
      </c>
      <c r="J153" s="966" t="b">
        <f>IF('Innend. HFD'!$B15&gt;0,'Innend. HFD'!G15)</f>
        <v>0</v>
      </c>
      <c r="K153" s="955"/>
      <c r="L153" s="955"/>
      <c r="M153" s="1042" t="b">
        <f>IF('Innend. HFD'!$B15&gt;0,'Innend. HFD'!I15)</f>
        <v>0</v>
      </c>
      <c r="N153" s="1045" t="b">
        <f>IF('Innend. HFD'!$B15&gt;0,'Innend. HFD'!U15)</f>
        <v>0</v>
      </c>
      <c r="O153" s="966" t="b">
        <f>IF('Innend. HFD'!$B15&gt;0,'Innend. HFD'!V15)</f>
        <v>0</v>
      </c>
      <c r="P153" s="972"/>
    </row>
    <row r="154" spans="5:16" ht="12.75" customHeight="1" x14ac:dyDescent="0.2">
      <c r="E154" s="956" t="b">
        <f>IF('Innend. HFD'!$B16&gt;0,'Innend. HFD'!B16)</f>
        <v>0</v>
      </c>
      <c r="F154" s="956" t="b">
        <f>IF('Innend. HFD'!$B16&gt;0,'Innend. HFD'!C16)</f>
        <v>0</v>
      </c>
      <c r="G154" s="956" t="b">
        <f>IF('Innend. HFD'!$B16&gt;0,'Innend. HFD'!D16)</f>
        <v>0</v>
      </c>
      <c r="H154" s="966" t="b">
        <f>IF('Innend. HFD'!$B16&gt;0,'Innend. HFD'!E16)</f>
        <v>0</v>
      </c>
      <c r="I154" s="966" t="b">
        <f>IF('Innend. HFD'!$B16&gt;0,'Innend. HFD'!F16)</f>
        <v>0</v>
      </c>
      <c r="J154" s="966" t="b">
        <f>IF('Innend. HFD'!$B16&gt;0,'Innend. HFD'!G16)</f>
        <v>0</v>
      </c>
      <c r="K154" s="955"/>
      <c r="L154" s="955"/>
      <c r="M154" s="1042" t="b">
        <f>IF('Innend. HFD'!$B16&gt;0,'Innend. HFD'!I16)</f>
        <v>0</v>
      </c>
      <c r="N154" s="1045" t="b">
        <f>IF('Innend. HFD'!$B16&gt;0,'Innend. HFD'!U16)</f>
        <v>0</v>
      </c>
      <c r="O154" s="966" t="b">
        <f>IF('Innend. HFD'!$B16&gt;0,'Innend. HFD'!V16)</f>
        <v>0</v>
      </c>
      <c r="P154" s="972"/>
    </row>
    <row r="155" spans="5:16" ht="12.75" customHeight="1" x14ac:dyDescent="0.2">
      <c r="E155" s="956" t="b">
        <f>IF('Innend. HFD'!$B17&gt;0,'Innend. HFD'!B17)</f>
        <v>0</v>
      </c>
      <c r="F155" s="956" t="b">
        <f>IF('Innend. HFD'!$B17&gt;0,'Innend. HFD'!C17)</f>
        <v>0</v>
      </c>
      <c r="G155" s="956" t="b">
        <f>IF('Innend. HFD'!$B17&gt;0,'Innend. HFD'!D17)</f>
        <v>0</v>
      </c>
      <c r="H155" s="966" t="b">
        <f>IF('Innend. HFD'!$B17&gt;0,'Innend. HFD'!E17)</f>
        <v>0</v>
      </c>
      <c r="I155" s="966" t="b">
        <f>IF('Innend. HFD'!$B17&gt;0,'Innend. HFD'!F17)</f>
        <v>0</v>
      </c>
      <c r="J155" s="966" t="b">
        <f>IF('Innend. HFD'!$B17&gt;0,'Innend. HFD'!G17)</f>
        <v>0</v>
      </c>
      <c r="K155" s="955"/>
      <c r="L155" s="955"/>
      <c r="M155" s="1042" t="b">
        <f>IF('Innend. HFD'!$B17&gt;0,'Innend. HFD'!I17)</f>
        <v>0</v>
      </c>
      <c r="N155" s="1045" t="b">
        <f>IF('Innend. HFD'!$B17&gt;0,'Innend. HFD'!U17)</f>
        <v>0</v>
      </c>
      <c r="O155" s="966" t="b">
        <f>IF('Innend. HFD'!$B17&gt;0,'Innend. HFD'!V17)</f>
        <v>0</v>
      </c>
      <c r="P155" s="783"/>
    </row>
    <row r="156" spans="5:16" ht="12.75" customHeight="1" x14ac:dyDescent="0.2">
      <c r="E156" s="956" t="b">
        <f>IF('Innend. HFD'!$B18&gt;0,'Innend. HFD'!B18)</f>
        <v>0</v>
      </c>
      <c r="F156" s="956" t="b">
        <f>IF('Innend. HFD'!$B18&gt;0,'Innend. HFD'!C18)</f>
        <v>0</v>
      </c>
      <c r="G156" s="956" t="b">
        <f>IF('Innend. HFD'!$B18&gt;0,'Innend. HFD'!D18)</f>
        <v>0</v>
      </c>
      <c r="H156" s="966" t="b">
        <f>IF('Innend. HFD'!$B18&gt;0,'Innend. HFD'!E18)</f>
        <v>0</v>
      </c>
      <c r="I156" s="966" t="b">
        <f>IF('Innend. HFD'!$B18&gt;0,'Innend. HFD'!F18)</f>
        <v>0</v>
      </c>
      <c r="J156" s="966" t="b">
        <f>IF('Innend. HFD'!$B18&gt;0,'Innend. HFD'!G18)</f>
        <v>0</v>
      </c>
      <c r="K156" s="955"/>
      <c r="L156" s="955"/>
      <c r="M156" s="1042" t="b">
        <f>IF('Innend. HFD'!$B18&gt;0,'Innend. HFD'!I18)</f>
        <v>0</v>
      </c>
      <c r="N156" s="1045" t="b">
        <f>IF('Innend. HFD'!$B18&gt;0,'Innend. HFD'!U18)</f>
        <v>0</v>
      </c>
      <c r="O156" s="966" t="b">
        <f>IF('Innend. HFD'!$B18&gt;0,'Innend. HFD'!V18)</f>
        <v>0</v>
      </c>
      <c r="P156" s="783"/>
    </row>
    <row r="157" spans="5:16" ht="12.75" customHeight="1" x14ac:dyDescent="0.2">
      <c r="E157" s="956" t="b">
        <f>IF('Innend. HFD'!$B19&gt;0,'Innend. HFD'!B19)</f>
        <v>0</v>
      </c>
      <c r="F157" s="956" t="b">
        <f>IF('Innend. HFD'!$B19&gt;0,'Innend. HFD'!C19)</f>
        <v>0</v>
      </c>
      <c r="G157" s="956" t="b">
        <f>IF('Innend. HFD'!$B19&gt;0,'Innend. HFD'!D19)</f>
        <v>0</v>
      </c>
      <c r="H157" s="966" t="b">
        <f>IF('Innend. HFD'!$B19&gt;0,'Innend. HFD'!E19)</f>
        <v>0</v>
      </c>
      <c r="I157" s="966" t="b">
        <f>IF('Innend. HFD'!$B19&gt;0,'Innend. HFD'!F19)</f>
        <v>0</v>
      </c>
      <c r="J157" s="966" t="b">
        <f>IF('Innend. HFD'!$B19&gt;0,'Innend. HFD'!G19)</f>
        <v>0</v>
      </c>
      <c r="K157" s="955"/>
      <c r="L157" s="955"/>
      <c r="M157" s="1042" t="b">
        <f>IF('Innend. HFD'!$B19&gt;0,'Innend. HFD'!I19)</f>
        <v>0</v>
      </c>
      <c r="N157" s="1045" t="b">
        <f>IF('Innend. HFD'!$B19&gt;0,'Innend. HFD'!U19)</f>
        <v>0</v>
      </c>
      <c r="O157" s="966" t="b">
        <f>IF('Innend. HFD'!$B19&gt;0,'Innend. HFD'!V19)</f>
        <v>0</v>
      </c>
      <c r="P157" s="783"/>
    </row>
    <row r="158" spans="5:16" ht="12.75" customHeight="1" x14ac:dyDescent="0.2">
      <c r="E158" s="956" t="b">
        <f>IF('Innend. HFD'!$B20&gt;0,'Innend. HFD'!B20)</f>
        <v>0</v>
      </c>
      <c r="F158" s="956" t="b">
        <f>IF('Innend. HFD'!$B20&gt;0,'Innend. HFD'!C20)</f>
        <v>0</v>
      </c>
      <c r="G158" s="956" t="b">
        <f>IF('Innend. HFD'!$B20&gt;0,'Innend. HFD'!D20)</f>
        <v>0</v>
      </c>
      <c r="H158" s="966" t="b">
        <f>IF('Innend. HFD'!$B20&gt;0,'Innend. HFD'!E20)</f>
        <v>0</v>
      </c>
      <c r="I158" s="966" t="b">
        <f>IF('Innend. HFD'!$B20&gt;0,'Innend. HFD'!F20)</f>
        <v>0</v>
      </c>
      <c r="J158" s="966" t="b">
        <f>IF('Innend. HFD'!$B20&gt;0,'Innend. HFD'!G20)</f>
        <v>0</v>
      </c>
      <c r="K158" s="955"/>
      <c r="L158" s="955"/>
      <c r="M158" s="1042" t="b">
        <f>IF('Innend. HFD'!$B20&gt;0,'Innend. HFD'!I20)</f>
        <v>0</v>
      </c>
      <c r="N158" s="1045" t="b">
        <f>IF('Innend. HFD'!$B20&gt;0,'Innend. HFD'!U20)</f>
        <v>0</v>
      </c>
      <c r="O158" s="966" t="b">
        <f>IF('Innend. HFD'!$B20&gt;0,'Innend. HFD'!V20)</f>
        <v>0</v>
      </c>
      <c r="P158" s="783"/>
    </row>
    <row r="159" spans="5:16" ht="12.75" customHeight="1" x14ac:dyDescent="0.2">
      <c r="E159" s="956" t="b">
        <f>IF('Innend. HFD'!$B21&gt;0,'Innend. HFD'!B21)</f>
        <v>0</v>
      </c>
      <c r="F159" s="956" t="b">
        <f>IF('Innend. HFD'!$B21&gt;0,'Innend. HFD'!C21)</f>
        <v>0</v>
      </c>
      <c r="G159" s="956" t="b">
        <f>IF('Innend. HFD'!$B21&gt;0,'Innend. HFD'!D21)</f>
        <v>0</v>
      </c>
      <c r="H159" s="966" t="b">
        <f>IF('Innend. HFD'!$B21&gt;0,'Innend. HFD'!E21)</f>
        <v>0</v>
      </c>
      <c r="I159" s="966" t="b">
        <f>IF('Innend. HFD'!$B21&gt;0,'Innend. HFD'!F21)</f>
        <v>0</v>
      </c>
      <c r="J159" s="966" t="b">
        <f>IF('Innend. HFD'!$B21&gt;0,'Innend. HFD'!G21)</f>
        <v>0</v>
      </c>
      <c r="K159" s="955"/>
      <c r="L159" s="955"/>
      <c r="M159" s="1042" t="b">
        <f>IF('Innend. HFD'!$B21&gt;0,'Innend. HFD'!I21)</f>
        <v>0</v>
      </c>
      <c r="N159" s="1045" t="b">
        <f>IF('Innend. HFD'!$B21&gt;0,'Innend. HFD'!U21)</f>
        <v>0</v>
      </c>
      <c r="O159" s="966" t="b">
        <f>IF('Innend. HFD'!$B21&gt;0,'Innend. HFD'!V21)</f>
        <v>0</v>
      </c>
      <c r="P159" s="783"/>
    </row>
    <row r="160" spans="5:16" ht="12.75" customHeight="1" x14ac:dyDescent="0.2">
      <c r="E160" s="956" t="b">
        <f>IF('Innend. HFD'!$B22&gt;0,'Innend. HFD'!B22)</f>
        <v>0</v>
      </c>
      <c r="F160" s="956" t="b">
        <f>IF('Innend. HFD'!$B22&gt;0,'Innend. HFD'!C22)</f>
        <v>0</v>
      </c>
      <c r="G160" s="956" t="b">
        <f>IF('Innend. HFD'!$B22&gt;0,'Innend. HFD'!D22)</f>
        <v>0</v>
      </c>
      <c r="H160" s="966" t="b">
        <f>IF('Innend. HFD'!$B22&gt;0,'Innend. HFD'!E22)</f>
        <v>0</v>
      </c>
      <c r="I160" s="966" t="b">
        <f>IF('Innend. HFD'!$B22&gt;0,'Innend. HFD'!F22)</f>
        <v>0</v>
      </c>
      <c r="J160" s="966" t="b">
        <f>IF('Innend. HFD'!$B22&gt;0,'Innend. HFD'!G22)</f>
        <v>0</v>
      </c>
      <c r="K160" s="955"/>
      <c r="L160" s="955"/>
      <c r="M160" s="1042" t="b">
        <f>IF('Innend. HFD'!$B22&gt;0,'Innend. HFD'!I22)</f>
        <v>0</v>
      </c>
      <c r="N160" s="1045" t="b">
        <f>IF('Innend. HFD'!$B22&gt;0,'Innend. HFD'!U22)</f>
        <v>0</v>
      </c>
      <c r="O160" s="966" t="b">
        <f>IF('Innend. HFD'!$B22&gt;0,'Innend. HFD'!V22)</f>
        <v>0</v>
      </c>
      <c r="P160" s="783"/>
    </row>
    <row r="161" spans="5:16" ht="12.75" customHeight="1" x14ac:dyDescent="0.2">
      <c r="E161" s="956" t="b">
        <f>IF('Innend. HFD'!$B23&gt;0,'Innend. HFD'!B23)</f>
        <v>0</v>
      </c>
      <c r="F161" s="956" t="b">
        <f>IF('Innend. HFD'!$B23&gt;0,'Innend. HFD'!C23)</f>
        <v>0</v>
      </c>
      <c r="G161" s="956" t="b">
        <f>IF('Innend. HFD'!$B23&gt;0,'Innend. HFD'!D23)</f>
        <v>0</v>
      </c>
      <c r="H161" s="966" t="b">
        <f>IF('Innend. HFD'!$B23&gt;0,'Innend. HFD'!E23)</f>
        <v>0</v>
      </c>
      <c r="I161" s="966" t="b">
        <f>IF('Innend. HFD'!$B23&gt;0,'Innend. HFD'!F23)</f>
        <v>0</v>
      </c>
      <c r="J161" s="966" t="b">
        <f>IF('Innend. HFD'!$B23&gt;0,'Innend. HFD'!G23)</f>
        <v>0</v>
      </c>
      <c r="K161" s="955"/>
      <c r="L161" s="955"/>
      <c r="M161" s="1042" t="b">
        <f>IF('Innend. HFD'!$B23&gt;0,'Innend. HFD'!I23)</f>
        <v>0</v>
      </c>
      <c r="N161" s="1045" t="b">
        <f>IF('Innend. HFD'!$B23&gt;0,'Innend. HFD'!U23)</f>
        <v>0</v>
      </c>
      <c r="O161" s="966" t="b">
        <f>IF('Innend. HFD'!$B23&gt;0,'Innend. HFD'!V23)</f>
        <v>0</v>
      </c>
      <c r="P161" s="783"/>
    </row>
    <row r="162" spans="5:16" ht="12.75" customHeight="1" x14ac:dyDescent="0.2">
      <c r="E162" s="956" t="b">
        <f>IF('Innend. HFD'!$B24&gt;0,'Innend. HFD'!B24)</f>
        <v>0</v>
      </c>
      <c r="F162" s="956" t="b">
        <f>IF('Innend. HFD'!$B24&gt;0,'Innend. HFD'!C24)</f>
        <v>0</v>
      </c>
      <c r="G162" s="956" t="b">
        <f>IF('Innend. HFD'!$B24&gt;0,'Innend. HFD'!D24)</f>
        <v>0</v>
      </c>
      <c r="H162" s="966" t="b">
        <f>IF('Innend. HFD'!$B24&gt;0,'Innend. HFD'!E24)</f>
        <v>0</v>
      </c>
      <c r="I162" s="966" t="b">
        <f>IF('Innend. HFD'!$B24&gt;0,'Innend. HFD'!F24)</f>
        <v>0</v>
      </c>
      <c r="J162" s="966" t="b">
        <f>IF('Innend. HFD'!$B24&gt;0,'Innend. HFD'!G24)</f>
        <v>0</v>
      </c>
      <c r="K162" s="955"/>
      <c r="L162" s="955"/>
      <c r="M162" s="1042" t="b">
        <f>IF('Innend. HFD'!$B24&gt;0,'Innend. HFD'!I24)</f>
        <v>0</v>
      </c>
      <c r="N162" s="1045" t="b">
        <f>IF('Innend. HFD'!$B24&gt;0,'Innend. HFD'!U24)</f>
        <v>0</v>
      </c>
      <c r="O162" s="966" t="b">
        <f>IF('Innend. HFD'!$B24&gt;0,'Innend. HFD'!V24)</f>
        <v>0</v>
      </c>
      <c r="P162" s="783"/>
    </row>
    <row r="163" spans="5:16" ht="12.75" customHeight="1" x14ac:dyDescent="0.2">
      <c r="E163" s="956" t="b">
        <f>IF('Innend. HFD'!$B25&gt;0,'Innend. HFD'!B25)</f>
        <v>0</v>
      </c>
      <c r="F163" s="956" t="b">
        <f>IF('Innend. HFD'!$B25&gt;0,'Innend. HFD'!C25)</f>
        <v>0</v>
      </c>
      <c r="G163" s="956" t="b">
        <f>IF('Innend. HFD'!$B25&gt;0,'Innend. HFD'!D25)</f>
        <v>0</v>
      </c>
      <c r="H163" s="966" t="b">
        <f>IF('Innend. HFD'!$B25&gt;0,'Innend. HFD'!E25)</f>
        <v>0</v>
      </c>
      <c r="I163" s="966" t="b">
        <f>IF('Innend. HFD'!$B25&gt;0,'Innend. HFD'!F25)</f>
        <v>0</v>
      </c>
      <c r="J163" s="966" t="b">
        <f>IF('Innend. HFD'!$B25&gt;0,'Innend. HFD'!G25)</f>
        <v>0</v>
      </c>
      <c r="K163" s="955"/>
      <c r="L163" s="955"/>
      <c r="M163" s="1042" t="b">
        <f>IF('Innend. HFD'!$B25&gt;0,'Innend. HFD'!I25)</f>
        <v>0</v>
      </c>
      <c r="N163" s="1045" t="b">
        <f>IF('Innend. HFD'!$B25&gt;0,'Innend. HFD'!U25)</f>
        <v>0</v>
      </c>
      <c r="O163" s="966" t="b">
        <f>IF('Innend. HFD'!$B25&gt;0,'Innend. HFD'!V25)</f>
        <v>0</v>
      </c>
      <c r="P163" s="783"/>
    </row>
    <row r="164" spans="5:16" ht="12.75" customHeight="1" x14ac:dyDescent="0.2">
      <c r="E164" s="956" t="b">
        <f>IF('Innend. HFD'!$B26&gt;0,'Innend. HFD'!B26)</f>
        <v>0</v>
      </c>
      <c r="F164" s="956" t="b">
        <f>IF('Innend. HFD'!$B26&gt;0,'Innend. HFD'!C26)</f>
        <v>0</v>
      </c>
      <c r="G164" s="956" t="b">
        <f>IF('Innend. HFD'!$B26&gt;0,'Innend. HFD'!D26)</f>
        <v>0</v>
      </c>
      <c r="H164" s="966" t="b">
        <f>IF('Innend. HFD'!$B26&gt;0,'Innend. HFD'!E26)</f>
        <v>0</v>
      </c>
      <c r="I164" s="966" t="b">
        <f>IF('Innend. HFD'!$B26&gt;0,'Innend. HFD'!F26)</f>
        <v>0</v>
      </c>
      <c r="J164" s="966" t="b">
        <f>IF('Innend. HFD'!$B26&gt;0,'Innend. HFD'!G26)</f>
        <v>0</v>
      </c>
      <c r="K164" s="955"/>
      <c r="L164" s="955"/>
      <c r="M164" s="1042" t="b">
        <f>IF('Innend. HFD'!$B26&gt;0,'Innend. HFD'!I26)</f>
        <v>0</v>
      </c>
      <c r="N164" s="1045" t="b">
        <f>IF('Innend. HFD'!$B26&gt;0,'Innend. HFD'!U26)</f>
        <v>0</v>
      </c>
      <c r="O164" s="966" t="b">
        <f>IF('Innend. HFD'!$B26&gt;0,'Innend. HFD'!V26)</f>
        <v>0</v>
      </c>
      <c r="P164" s="783"/>
    </row>
    <row r="165" spans="5:16" ht="12.75" customHeight="1" x14ac:dyDescent="0.2">
      <c r="E165" s="956" t="b">
        <f>IF('Innend. HFD'!$B27&gt;0,'Innend. HFD'!B27)</f>
        <v>0</v>
      </c>
      <c r="F165" s="956" t="b">
        <f>IF('Innend. HFD'!$B27&gt;0,'Innend. HFD'!C27)</f>
        <v>0</v>
      </c>
      <c r="G165" s="956" t="b">
        <f>IF('Innend. HFD'!$B27&gt;0,'Innend. HFD'!D27)</f>
        <v>0</v>
      </c>
      <c r="H165" s="966" t="b">
        <f>IF('Innend. HFD'!$B27&gt;0,'Innend. HFD'!E27)</f>
        <v>0</v>
      </c>
      <c r="I165" s="966" t="b">
        <f>IF('Innend. HFD'!$B27&gt;0,'Innend. HFD'!F27)</f>
        <v>0</v>
      </c>
      <c r="J165" s="966" t="b">
        <f>IF('Innend. HFD'!$B27&gt;0,'Innend. HFD'!G27)</f>
        <v>0</v>
      </c>
      <c r="K165" s="955"/>
      <c r="L165" s="955"/>
      <c r="M165" s="1042" t="b">
        <f>IF('Innend. HFD'!$B27&gt;0,'Innend. HFD'!I27)</f>
        <v>0</v>
      </c>
      <c r="N165" s="1045" t="b">
        <f>IF('Innend. HFD'!$B27&gt;0,'Innend. HFD'!U27)</f>
        <v>0</v>
      </c>
      <c r="O165" s="966" t="b">
        <f>IF('Innend. HFD'!$B27&gt;0,'Innend. HFD'!V27)</f>
        <v>0</v>
      </c>
      <c r="P165" s="783"/>
    </row>
    <row r="166" spans="5:16" ht="12.75" customHeight="1" x14ac:dyDescent="0.2">
      <c r="E166" s="956" t="b">
        <f>IF('Innend. HFD'!$B28&gt;0,'Innend. HFD'!B28)</f>
        <v>0</v>
      </c>
      <c r="F166" s="956" t="b">
        <f>IF('Innend. HFD'!$B28&gt;0,'Innend. HFD'!C28)</f>
        <v>0</v>
      </c>
      <c r="G166" s="956" t="b">
        <f>IF('Innend. HFD'!$B28&gt;0,'Innend. HFD'!D28)</f>
        <v>0</v>
      </c>
      <c r="H166" s="966" t="b">
        <f>IF('Innend. HFD'!$B28&gt;0,'Innend. HFD'!E28)</f>
        <v>0</v>
      </c>
      <c r="I166" s="966" t="b">
        <f>IF('Innend. HFD'!$B28&gt;0,'Innend. HFD'!F28)</f>
        <v>0</v>
      </c>
      <c r="J166" s="966" t="b">
        <f>IF('Innend. HFD'!$B28&gt;0,'Innend. HFD'!G28)</f>
        <v>0</v>
      </c>
      <c r="K166" s="955"/>
      <c r="L166" s="955"/>
      <c r="M166" s="1042" t="b">
        <f>IF('Innend. HFD'!$B28&gt;0,'Innend. HFD'!I28)</f>
        <v>0</v>
      </c>
      <c r="N166" s="1045" t="b">
        <f>IF('Innend. HFD'!$B28&gt;0,'Innend. HFD'!U28)</f>
        <v>0</v>
      </c>
      <c r="O166" s="966" t="b">
        <f>IF('Innend. HFD'!$B28&gt;0,'Innend. HFD'!V28)</f>
        <v>0</v>
      </c>
      <c r="P166" s="783"/>
    </row>
    <row r="167" spans="5:16" ht="12.75" customHeight="1" x14ac:dyDescent="0.2">
      <c r="E167" s="956" t="b">
        <f>IF('Innend. HFD'!$B29&gt;0,'Innend. HFD'!B29)</f>
        <v>0</v>
      </c>
      <c r="F167" s="956" t="b">
        <f>IF('Innend. HFD'!$B29&gt;0,'Innend. HFD'!C29)</f>
        <v>0</v>
      </c>
      <c r="G167" s="956" t="b">
        <f>IF('Innend. HFD'!$B29&gt;0,'Innend. HFD'!D29)</f>
        <v>0</v>
      </c>
      <c r="H167" s="966" t="b">
        <f>IF('Innend. HFD'!$B29&gt;0,'Innend. HFD'!E29)</f>
        <v>0</v>
      </c>
      <c r="I167" s="966" t="b">
        <f>IF('Innend. HFD'!$B29&gt;0,'Innend. HFD'!F29)</f>
        <v>0</v>
      </c>
      <c r="J167" s="966" t="b">
        <f>IF('Innend. HFD'!$B29&gt;0,'Innend. HFD'!G29)</f>
        <v>0</v>
      </c>
      <c r="K167" s="955"/>
      <c r="L167" s="955"/>
      <c r="M167" s="1042" t="b">
        <f>IF('Innend. HFD'!$B29&gt;0,'Innend. HFD'!I29)</f>
        <v>0</v>
      </c>
      <c r="N167" s="1045" t="b">
        <f>IF('Innend. HFD'!$B29&gt;0,'Innend. HFD'!U29)</f>
        <v>0</v>
      </c>
      <c r="O167" s="966" t="b">
        <f>IF('Innend. HFD'!$B29&gt;0,'Innend. HFD'!V29)</f>
        <v>0</v>
      </c>
      <c r="P167" s="783"/>
    </row>
    <row r="168" spans="5:16" ht="12.75" customHeight="1" x14ac:dyDescent="0.2">
      <c r="E168" s="956" t="b">
        <f>IF('Innend. HFD'!$B30&gt;0,'Innend. HFD'!B30)</f>
        <v>0</v>
      </c>
      <c r="F168" s="956" t="b">
        <f>IF('Innend. HFD'!$B30&gt;0,'Innend. HFD'!C30)</f>
        <v>0</v>
      </c>
      <c r="G168" s="956" t="b">
        <f>IF('Innend. HFD'!$B30&gt;0,'Innend. HFD'!D30)</f>
        <v>0</v>
      </c>
      <c r="H168" s="966" t="b">
        <f>IF('Innend. HFD'!$B30&gt;0,'Innend. HFD'!E30)</f>
        <v>0</v>
      </c>
      <c r="I168" s="966" t="b">
        <f>IF('Innend. HFD'!$B30&gt;0,'Innend. HFD'!F30)</f>
        <v>0</v>
      </c>
      <c r="J168" s="966" t="b">
        <f>IF('Innend. HFD'!$B30&gt;0,'Innend. HFD'!G30)</f>
        <v>0</v>
      </c>
      <c r="K168" s="955"/>
      <c r="L168" s="955"/>
      <c r="M168" s="1042" t="b">
        <f>IF('Innend. HFD'!$B30&gt;0,'Innend. HFD'!I30)</f>
        <v>0</v>
      </c>
      <c r="N168" s="1045" t="b">
        <f>IF('Innend. HFD'!$B30&gt;0,'Innend. HFD'!U30)</f>
        <v>0</v>
      </c>
      <c r="O168" s="966" t="b">
        <f>IF('Innend. HFD'!$B30&gt;0,'Innend. HFD'!V30)</f>
        <v>0</v>
      </c>
      <c r="P168" s="783"/>
    </row>
    <row r="169" spans="5:16" ht="12.75" customHeight="1" x14ac:dyDescent="0.2">
      <c r="E169" s="956" t="b">
        <f>IF('Innend. HFD'!$B31&gt;0,'Innend. HFD'!B31)</f>
        <v>0</v>
      </c>
      <c r="F169" s="956" t="b">
        <f>IF('Innend. HFD'!$B31&gt;0,'Innend. HFD'!C31)</f>
        <v>0</v>
      </c>
      <c r="G169" s="956" t="b">
        <f>IF('Innend. HFD'!$B31&gt;0,'Innend. HFD'!D31)</f>
        <v>0</v>
      </c>
      <c r="H169" s="966" t="b">
        <f>IF('Innend. HFD'!$B31&gt;0,'Innend. HFD'!E31)</f>
        <v>0</v>
      </c>
      <c r="I169" s="966" t="b">
        <f>IF('Innend. HFD'!$B31&gt;0,'Innend. HFD'!F31)</f>
        <v>0</v>
      </c>
      <c r="J169" s="966" t="b">
        <f>IF('Innend. HFD'!$B31&gt;0,'Innend. HFD'!G31)</f>
        <v>0</v>
      </c>
      <c r="K169" s="955"/>
      <c r="L169" s="955"/>
      <c r="M169" s="1042" t="b">
        <f>IF('Innend. HFD'!$B31&gt;0,'Innend. HFD'!I31)</f>
        <v>0</v>
      </c>
      <c r="N169" s="1045" t="b">
        <f>IF('Innend. HFD'!$B31&gt;0,'Innend. HFD'!U31)</f>
        <v>0</v>
      </c>
      <c r="O169" s="966" t="b">
        <f>IF('Innend. HFD'!$B31&gt;0,'Innend. HFD'!V31)</f>
        <v>0</v>
      </c>
      <c r="P169" s="783"/>
    </row>
    <row r="170" spans="5:16" ht="12.75" customHeight="1" x14ac:dyDescent="0.2">
      <c r="E170" s="956" t="b">
        <f>IF('Innend. HFD'!$B32&gt;0,'Innend. HFD'!B32)</f>
        <v>0</v>
      </c>
      <c r="F170" s="956" t="b">
        <f>IF('Innend. HFD'!$B32&gt;0,'Innend. HFD'!C32)</f>
        <v>0</v>
      </c>
      <c r="G170" s="956" t="b">
        <f>IF('Innend. HFD'!$B32&gt;0,'Innend. HFD'!D32)</f>
        <v>0</v>
      </c>
      <c r="H170" s="966" t="b">
        <f>IF('Innend. HFD'!$B32&gt;0,'Innend. HFD'!E32)</f>
        <v>0</v>
      </c>
      <c r="I170" s="966" t="b">
        <f>IF('Innend. HFD'!$B32&gt;0,'Innend. HFD'!F32)</f>
        <v>0</v>
      </c>
      <c r="J170" s="966" t="b">
        <f>IF('Innend. HFD'!$B32&gt;0,'Innend. HFD'!G32)</f>
        <v>0</v>
      </c>
      <c r="K170" s="955"/>
      <c r="L170" s="955"/>
      <c r="M170" s="1042" t="b">
        <f>IF('Innend. HFD'!$B32&gt;0,'Innend. HFD'!I32)</f>
        <v>0</v>
      </c>
      <c r="N170" s="1045" t="b">
        <f>IF('Innend. HFD'!$B32&gt;0,'Innend. HFD'!U32)</f>
        <v>0</v>
      </c>
      <c r="O170" s="966" t="b">
        <f>IF('Innend. HFD'!$B32&gt;0,'Innend. HFD'!V32)</f>
        <v>0</v>
      </c>
      <c r="P170" s="783"/>
    </row>
    <row r="171" spans="5:16" ht="12.75" customHeight="1" x14ac:dyDescent="0.2">
      <c r="E171" s="956" t="b">
        <f>IF('Innend. HFD'!$B33&gt;0,'Innend. HFD'!B33)</f>
        <v>0</v>
      </c>
      <c r="F171" s="956" t="b">
        <f>IF('Innend. HFD'!$B33&gt;0,'Innend. HFD'!C33)</f>
        <v>0</v>
      </c>
      <c r="G171" s="956" t="b">
        <f>IF('Innend. HFD'!$B33&gt;0,'Innend. HFD'!D33)</f>
        <v>0</v>
      </c>
      <c r="H171" s="966" t="b">
        <f>IF('Innend. HFD'!$B33&gt;0,'Innend. HFD'!E33)</f>
        <v>0</v>
      </c>
      <c r="I171" s="966" t="b">
        <f>IF('Innend. HFD'!$B33&gt;0,'Innend. HFD'!F33)</f>
        <v>0</v>
      </c>
      <c r="J171" s="966" t="b">
        <f>IF('Innend. HFD'!$B33&gt;0,'Innend. HFD'!G33)</f>
        <v>0</v>
      </c>
      <c r="K171" s="955"/>
      <c r="L171" s="955"/>
      <c r="M171" s="1042" t="b">
        <f>IF('Innend. HFD'!$B33&gt;0,'Innend. HFD'!I33)</f>
        <v>0</v>
      </c>
      <c r="N171" s="1045" t="b">
        <f>IF('Innend. HFD'!$B33&gt;0,'Innend. HFD'!U33)</f>
        <v>0</v>
      </c>
      <c r="O171" s="966" t="b">
        <f>IF('Innend. HFD'!$B33&gt;0,'Innend. HFD'!V33)</f>
        <v>0</v>
      </c>
      <c r="P171" s="783"/>
    </row>
    <row r="172" spans="5:16" ht="12.75" customHeight="1" x14ac:dyDescent="0.2">
      <c r="E172" s="956" t="b">
        <f>IF('Innend. HFD'!$B34&gt;0,'Innend. HFD'!B34)</f>
        <v>0</v>
      </c>
      <c r="F172" s="956" t="b">
        <f>IF('Innend. HFD'!$B34&gt;0,'Innend. HFD'!C34)</f>
        <v>0</v>
      </c>
      <c r="G172" s="956" t="b">
        <f>IF('Innend. HFD'!$B34&gt;0,'Innend. HFD'!D34)</f>
        <v>0</v>
      </c>
      <c r="H172" s="966" t="b">
        <f>IF('Innend. HFD'!$B34&gt;0,'Innend. HFD'!E34)</f>
        <v>0</v>
      </c>
      <c r="I172" s="966" t="b">
        <f>IF('Innend. HFD'!$B34&gt;0,'Innend. HFD'!F34)</f>
        <v>0</v>
      </c>
      <c r="J172" s="966" t="b">
        <f>IF('Innend. HFD'!$B34&gt;0,'Innend. HFD'!G34)</f>
        <v>0</v>
      </c>
      <c r="K172" s="955"/>
      <c r="L172" s="955"/>
      <c r="M172" s="1042" t="b">
        <f>IF('Innend. HFD'!$B34&gt;0,'Innend. HFD'!I34)</f>
        <v>0</v>
      </c>
      <c r="N172" s="1045" t="b">
        <f>IF('Innend. HFD'!$B34&gt;0,'Innend. HFD'!U34)</f>
        <v>0</v>
      </c>
      <c r="O172" s="966" t="b">
        <f>IF('Innend. HFD'!$B34&gt;0,'Innend. HFD'!V34)</f>
        <v>0</v>
      </c>
      <c r="P172" s="783"/>
    </row>
    <row r="173" spans="5:16" ht="12.75" customHeight="1" x14ac:dyDescent="0.2">
      <c r="E173" s="956" t="b">
        <f>IF('Innend. HFD'!$B35&gt;0,'Innend. HFD'!B35)</f>
        <v>0</v>
      </c>
      <c r="F173" s="956" t="b">
        <f>IF('Innend. HFD'!$B35&gt;0,'Innend. HFD'!C35)</f>
        <v>0</v>
      </c>
      <c r="G173" s="956" t="b">
        <f>IF('Innend. HFD'!$B35&gt;0,'Innend. HFD'!D35)</f>
        <v>0</v>
      </c>
      <c r="H173" s="966" t="b">
        <f>IF('Innend. HFD'!$B35&gt;0,'Innend. HFD'!E35)</f>
        <v>0</v>
      </c>
      <c r="I173" s="966" t="b">
        <f>IF('Innend. HFD'!$B35&gt;0,'Innend. HFD'!F35)</f>
        <v>0</v>
      </c>
      <c r="J173" s="966" t="b">
        <f>IF('Innend. HFD'!$B35&gt;0,'Innend. HFD'!G35)</f>
        <v>0</v>
      </c>
      <c r="K173" s="955"/>
      <c r="L173" s="955"/>
      <c r="M173" s="1042" t="b">
        <f>IF('Innend. HFD'!$B35&gt;0,'Innend. HFD'!I35)</f>
        <v>0</v>
      </c>
      <c r="N173" s="1045" t="b">
        <f>IF('Innend. HFD'!$B35&gt;0,'Innend. HFD'!U35)</f>
        <v>0</v>
      </c>
      <c r="O173" s="966" t="b">
        <f>IF('Innend. HFD'!$B35&gt;0,'Innend. HFD'!V35)</f>
        <v>0</v>
      </c>
      <c r="P173" s="783"/>
    </row>
    <row r="174" spans="5:16" ht="12.75" customHeight="1" x14ac:dyDescent="0.2">
      <c r="E174" s="956" t="b">
        <f>IF('Innend. HFD'!$B36&gt;0,'Innend. HFD'!B36)</f>
        <v>0</v>
      </c>
      <c r="F174" s="956" t="b">
        <f>IF('Innend. HFD'!$B36&gt;0,'Innend. HFD'!C36)</f>
        <v>0</v>
      </c>
      <c r="G174" s="956" t="b">
        <f>IF('Innend. HFD'!$B36&gt;0,'Innend. HFD'!D36)</f>
        <v>0</v>
      </c>
      <c r="H174" s="966" t="b">
        <f>IF('Innend. HFD'!$B36&gt;0,'Innend. HFD'!E36)</f>
        <v>0</v>
      </c>
      <c r="I174" s="966" t="b">
        <f>IF('Innend. HFD'!$B36&gt;0,'Innend. HFD'!F36)</f>
        <v>0</v>
      </c>
      <c r="J174" s="966" t="b">
        <f>IF('Innend. HFD'!$B36&gt;0,'Innend. HFD'!G36)</f>
        <v>0</v>
      </c>
      <c r="K174" s="955"/>
      <c r="L174" s="955"/>
      <c r="M174" s="1042" t="b">
        <f>IF('Innend. HFD'!$B36&gt;0,'Innend. HFD'!I36)</f>
        <v>0</v>
      </c>
      <c r="N174" s="1045" t="b">
        <f>IF('Innend. HFD'!$B36&gt;0,'Innend. HFD'!U36)</f>
        <v>0</v>
      </c>
      <c r="O174" s="966" t="b">
        <f>IF('Innend. HFD'!$B36&gt;0,'Innend. HFD'!V36)</f>
        <v>0</v>
      </c>
      <c r="P174" s="783"/>
    </row>
    <row r="175" spans="5:16" ht="12.75" customHeight="1" x14ac:dyDescent="0.2">
      <c r="E175" s="956" t="b">
        <f>IF('Innend. HFD'!$B37&gt;0,'Innend. HFD'!B37)</f>
        <v>0</v>
      </c>
      <c r="F175" s="956" t="b">
        <f>IF('Innend. HFD'!$B37&gt;0,'Innend. HFD'!C37)</f>
        <v>0</v>
      </c>
      <c r="G175" s="956" t="b">
        <f>IF('Innend. HFD'!$B37&gt;0,'Innend. HFD'!D37)</f>
        <v>0</v>
      </c>
      <c r="H175" s="966" t="b">
        <f>IF('Innend. HFD'!$B37&gt;0,'Innend. HFD'!E37)</f>
        <v>0</v>
      </c>
      <c r="I175" s="966" t="b">
        <f>IF('Innend. HFD'!$B37&gt;0,'Innend. HFD'!F37)</f>
        <v>0</v>
      </c>
      <c r="J175" s="966" t="b">
        <f>IF('Innend. HFD'!$B37&gt;0,'Innend. HFD'!G37)</f>
        <v>0</v>
      </c>
      <c r="K175" s="955"/>
      <c r="L175" s="955"/>
      <c r="M175" s="1042" t="b">
        <f>IF('Innend. HFD'!$B37&gt;0,'Innend. HFD'!I37)</f>
        <v>0</v>
      </c>
      <c r="N175" s="1045" t="b">
        <f>IF('Innend. HFD'!$B37&gt;0,'Innend. HFD'!U37)</f>
        <v>0</v>
      </c>
      <c r="O175" s="966" t="b">
        <f>IF('Innend. HFD'!$B37&gt;0,'Innend. HFD'!V37)</f>
        <v>0</v>
      </c>
      <c r="P175" s="783"/>
    </row>
    <row r="176" spans="5:16" ht="12.75" customHeight="1" x14ac:dyDescent="0.2">
      <c r="E176" s="956" t="b">
        <f>IF('Innend. HFD'!$B38&gt;0,'Innend. HFD'!B38)</f>
        <v>0</v>
      </c>
      <c r="F176" s="956" t="b">
        <f>IF('Innend. HFD'!$B38&gt;0,'Innend. HFD'!C38)</f>
        <v>0</v>
      </c>
      <c r="G176" s="956" t="b">
        <f>IF('Innend. HFD'!$B38&gt;0,'Innend. HFD'!D38)</f>
        <v>0</v>
      </c>
      <c r="H176" s="966" t="b">
        <f>IF('Innend. HFD'!$B38&gt;0,'Innend. HFD'!E38)</f>
        <v>0</v>
      </c>
      <c r="I176" s="966" t="b">
        <f>IF('Innend. HFD'!$B38&gt;0,'Innend. HFD'!F38)</f>
        <v>0</v>
      </c>
      <c r="J176" s="966" t="b">
        <f>IF('Innend. HFD'!$B38&gt;0,'Innend. HFD'!G38)</f>
        <v>0</v>
      </c>
      <c r="K176" s="955"/>
      <c r="L176" s="955"/>
      <c r="M176" s="1042" t="b">
        <f>IF('Innend. HFD'!$B38&gt;0,'Innend. HFD'!I38)</f>
        <v>0</v>
      </c>
      <c r="N176" s="1045" t="b">
        <f>IF('Innend. HFD'!$B38&gt;0,'Innend. HFD'!U38)</f>
        <v>0</v>
      </c>
      <c r="O176" s="966" t="b">
        <f>IF('Innend. HFD'!$B38&gt;0,'Innend. HFD'!V38)</f>
        <v>0</v>
      </c>
      <c r="P176" s="783"/>
    </row>
    <row r="177" spans="5:16" ht="12.75" customHeight="1" x14ac:dyDescent="0.2">
      <c r="E177" s="956" t="b">
        <f>IF('Innend. HFD'!$B39&gt;0,'Innend. HFD'!B39)</f>
        <v>0</v>
      </c>
      <c r="F177" s="956" t="b">
        <f>IF('Innend. HFD'!$B39&gt;0,'Innend. HFD'!C39)</f>
        <v>0</v>
      </c>
      <c r="G177" s="956" t="b">
        <f>IF('Innend. HFD'!$B39&gt;0,'Innend. HFD'!D39)</f>
        <v>0</v>
      </c>
      <c r="H177" s="966" t="b">
        <f>IF('Innend. HFD'!$B39&gt;0,'Innend. HFD'!E39)</f>
        <v>0</v>
      </c>
      <c r="I177" s="966" t="b">
        <f>IF('Innend. HFD'!$B39&gt;0,'Innend. HFD'!F39)</f>
        <v>0</v>
      </c>
      <c r="J177" s="966" t="b">
        <f>IF('Innend. HFD'!$B39&gt;0,'Innend. HFD'!G39)</f>
        <v>0</v>
      </c>
      <c r="K177" s="955"/>
      <c r="L177" s="955"/>
      <c r="M177" s="1042" t="b">
        <f>IF('Innend. HFD'!$B39&gt;0,'Innend. HFD'!I39)</f>
        <v>0</v>
      </c>
      <c r="N177" s="1045" t="b">
        <f>IF('Innend. HFD'!$B39&gt;0,'Innend. HFD'!U39)</f>
        <v>0</v>
      </c>
      <c r="O177" s="966" t="b">
        <f>IF('Innend. HFD'!$B39&gt;0,'Innend. HFD'!V39)</f>
        <v>0</v>
      </c>
      <c r="P177" s="783"/>
    </row>
    <row r="178" spans="5:16" ht="12.75" customHeight="1" x14ac:dyDescent="0.2">
      <c r="E178" s="1037" t="b">
        <f>IF('Innend. HFD'!$B40&gt;0,'Innend. HFD'!B40)</f>
        <v>0</v>
      </c>
      <c r="F178" s="956" t="b">
        <f>IF('Innend. HFD'!$B40&gt;0,'Innend. HFD'!C40)</f>
        <v>0</v>
      </c>
      <c r="G178" s="956" t="b">
        <f>IF('Innend. HFD'!$B40&gt;0,'Innend. HFD'!D40)</f>
        <v>0</v>
      </c>
      <c r="H178" s="966" t="b">
        <f>IF('Innend. HFD'!$B40&gt;0,'Innend. HFD'!E40)</f>
        <v>0</v>
      </c>
      <c r="I178" s="966" t="b">
        <f>IF('Innend. HFD'!$B40&gt;0,'Innend. HFD'!F40)</f>
        <v>0</v>
      </c>
      <c r="J178" s="966" t="b">
        <f>IF('Innend. HFD'!$B40&gt;0,'Innend. HFD'!G40)</f>
        <v>0</v>
      </c>
      <c r="K178" s="955"/>
      <c r="L178" s="955"/>
      <c r="M178" s="1042" t="b">
        <f>IF('Innend. HFD'!$B40&gt;0,'Innend. HFD'!I40)</f>
        <v>0</v>
      </c>
      <c r="N178" s="1045" t="b">
        <f>IF('Innend. HFD'!$B40&gt;0,'Innend. HFD'!U40)</f>
        <v>0</v>
      </c>
      <c r="O178" s="966" t="b">
        <f>IF('Innend. HFD'!$B40&gt;0,'Innend. HFD'!V40)</f>
        <v>0</v>
      </c>
      <c r="P178" s="783"/>
    </row>
    <row r="179" spans="5:16" ht="12.75" customHeight="1" x14ac:dyDescent="0.2">
      <c r="E179" s="1037" t="b">
        <f>IF('Innend. Leicht, LL-Steine'!$B8&gt;0,'Innend. Leicht, LL-Steine'!B8)</f>
        <v>0</v>
      </c>
      <c r="F179" s="1037" t="b">
        <f>IF('Innend. Leicht, LL-Steine'!$B8&gt;0,'Innend. Leicht, LL-Steine'!C8)</f>
        <v>0</v>
      </c>
      <c r="G179" s="1037" t="b">
        <f>IF('Innend. Leicht, LL-Steine'!$B8&gt;0,'Innend. Leicht, LL-Steine'!D8)</f>
        <v>0</v>
      </c>
      <c r="H179" s="1038" t="b">
        <f>IF('Innend. Leicht, LL-Steine'!$B8&gt;0,'Innend. Leicht, LL-Steine'!E8)</f>
        <v>0</v>
      </c>
      <c r="I179" s="1038" t="b">
        <f>IF('Innend. Leicht, LL-Steine'!$B8&gt;0,'Innend. Leicht, LL-Steine'!F8)</f>
        <v>0</v>
      </c>
      <c r="J179" s="1038" t="b">
        <f>IF('Innend. Leicht, LL-Steine'!$B8&gt;0,'Innend. Leicht, LL-Steine'!G8)</f>
        <v>0</v>
      </c>
      <c r="K179" s="1039"/>
      <c r="L179" s="1039"/>
      <c r="M179" s="1043" t="b">
        <f>IF('Innend. Leicht, LL-Steine'!$B8&gt;0,'Innend. Leicht, LL-Steine'!I8)</f>
        <v>0</v>
      </c>
      <c r="N179" s="1046" t="b">
        <f>IF('Innend. Leicht, LL-Steine'!$B8&gt;0,'Innend. Leicht, LL-Steine'!U8)</f>
        <v>0</v>
      </c>
      <c r="O179" s="1038" t="b">
        <f>IF('Innend. Leicht, LL-Steine'!$B8&gt;0,'Innend. Leicht, LL-Steine'!V8)</f>
        <v>0</v>
      </c>
      <c r="P179" s="783"/>
    </row>
    <row r="180" spans="5:16" ht="12.75" customHeight="1" x14ac:dyDescent="0.2">
      <c r="E180" s="1037" t="b">
        <f>IF('Innend. Leicht, LL-Steine'!$B9&gt;0,'Innend. Leicht, LL-Steine'!B9)</f>
        <v>0</v>
      </c>
      <c r="F180" s="1037" t="b">
        <f>IF('Innend. Leicht, LL-Steine'!$B9&gt;0,'Innend. Leicht, LL-Steine'!C9)</f>
        <v>0</v>
      </c>
      <c r="G180" s="1037" t="b">
        <f>IF('Innend. Leicht, LL-Steine'!$B9&gt;0,'Innend. Leicht, LL-Steine'!D9)</f>
        <v>0</v>
      </c>
      <c r="H180" s="1038" t="b">
        <f>IF('Innend. Leicht, LL-Steine'!$B9&gt;0,'Innend. Leicht, LL-Steine'!E9)</f>
        <v>0</v>
      </c>
      <c r="I180" s="1038" t="b">
        <f>IF('Innend. Leicht, LL-Steine'!$B9&gt;0,'Innend. Leicht, LL-Steine'!F9)</f>
        <v>0</v>
      </c>
      <c r="J180" s="1038" t="b">
        <f>IF('Innend. Leicht, LL-Steine'!$B9&gt;0,'Innend. Leicht, LL-Steine'!G9)</f>
        <v>0</v>
      </c>
      <c r="K180" s="1039"/>
      <c r="L180" s="1039"/>
      <c r="M180" s="1043" t="b">
        <f>IF('Innend. Leicht, LL-Steine'!$B9&gt;0,'Innend. Leicht, LL-Steine'!I9)</f>
        <v>0</v>
      </c>
      <c r="N180" s="1046" t="b">
        <f>IF('Innend. Leicht, LL-Steine'!$B9&gt;0,'Innend. Leicht, LL-Steine'!U9)</f>
        <v>0</v>
      </c>
      <c r="O180" s="1038" t="b">
        <f>IF('Innend. Leicht, LL-Steine'!$B9&gt;0,'Innend. Leicht, LL-Steine'!V9)</f>
        <v>0</v>
      </c>
      <c r="P180" s="783"/>
    </row>
    <row r="181" spans="5:16" ht="12.75" customHeight="1" x14ac:dyDescent="0.2">
      <c r="E181" s="1037" t="b">
        <f>IF('Innend. Leicht, LL-Steine'!$B10&gt;0,'Innend. Leicht, LL-Steine'!B10)</f>
        <v>0</v>
      </c>
      <c r="F181" s="1037" t="b">
        <f>IF('Innend. Leicht, LL-Steine'!$B10&gt;0,'Innend. Leicht, LL-Steine'!C10)</f>
        <v>0</v>
      </c>
      <c r="G181" s="1037" t="b">
        <f>IF('Innend. Leicht, LL-Steine'!$B10&gt;0,'Innend. Leicht, LL-Steine'!D10)</f>
        <v>0</v>
      </c>
      <c r="H181" s="1038" t="b">
        <f>IF('Innend. Leicht, LL-Steine'!$B10&gt;0,'Innend. Leicht, LL-Steine'!E10)</f>
        <v>0</v>
      </c>
      <c r="I181" s="1038" t="b">
        <f>IF('Innend. Leicht, LL-Steine'!$B10&gt;0,'Innend. Leicht, LL-Steine'!F10)</f>
        <v>0</v>
      </c>
      <c r="J181" s="1038" t="b">
        <f>IF('Innend. Leicht, LL-Steine'!$B10&gt;0,'Innend. Leicht, LL-Steine'!G10)</f>
        <v>0</v>
      </c>
      <c r="K181" s="1039"/>
      <c r="L181" s="1039"/>
      <c r="M181" s="1043" t="b">
        <f>IF('Innend. Leicht, LL-Steine'!$B10&gt;0,'Innend. Leicht, LL-Steine'!I10)</f>
        <v>0</v>
      </c>
      <c r="N181" s="1046" t="b">
        <f>IF('Innend. Leicht, LL-Steine'!$B10&gt;0,'Innend. Leicht, LL-Steine'!U10)</f>
        <v>0</v>
      </c>
      <c r="O181" s="1038" t="b">
        <f>IF('Innend. Leicht, LL-Steine'!$B10&gt;0,'Innend. Leicht, LL-Steine'!V10)</f>
        <v>0</v>
      </c>
      <c r="P181" s="783"/>
    </row>
    <row r="182" spans="5:16" ht="12.75" customHeight="1" x14ac:dyDescent="0.2">
      <c r="E182" s="1037" t="b">
        <f>IF('Innend. Leicht, LL-Steine'!$B11&gt;0,'Innend. Leicht, LL-Steine'!B11)</f>
        <v>0</v>
      </c>
      <c r="F182" s="1037" t="b">
        <f>IF('Innend. Leicht, LL-Steine'!$B11&gt;0,'Innend. Leicht, LL-Steine'!C11)</f>
        <v>0</v>
      </c>
      <c r="G182" s="1037" t="b">
        <f>IF('Innend. Leicht, LL-Steine'!$B11&gt;0,'Innend. Leicht, LL-Steine'!D11)</f>
        <v>0</v>
      </c>
      <c r="H182" s="1038" t="b">
        <f>IF('Innend. Leicht, LL-Steine'!$B11&gt;0,'Innend. Leicht, LL-Steine'!E11)</f>
        <v>0</v>
      </c>
      <c r="I182" s="1038" t="b">
        <f>IF('Innend. Leicht, LL-Steine'!$B11&gt;0,'Innend. Leicht, LL-Steine'!F11)</f>
        <v>0</v>
      </c>
      <c r="J182" s="1038" t="b">
        <f>IF('Innend. Leicht, LL-Steine'!$B11&gt;0,'Innend. Leicht, LL-Steine'!G11)</f>
        <v>0</v>
      </c>
      <c r="K182" s="1039"/>
      <c r="L182" s="1039"/>
      <c r="M182" s="1043" t="b">
        <f>IF('Innend. Leicht, LL-Steine'!$B11&gt;0,'Innend. Leicht, LL-Steine'!I11)</f>
        <v>0</v>
      </c>
      <c r="N182" s="1046" t="b">
        <f>IF('Innend. Leicht, LL-Steine'!$B11&gt;0,'Innend. Leicht, LL-Steine'!U11)</f>
        <v>0</v>
      </c>
      <c r="O182" s="1038" t="b">
        <f>IF('Innend. Leicht, LL-Steine'!$B11&gt;0,'Innend. Leicht, LL-Steine'!V11)</f>
        <v>0</v>
      </c>
      <c r="P182" s="783"/>
    </row>
    <row r="183" spans="5:16" ht="12.75" customHeight="1" x14ac:dyDescent="0.2">
      <c r="E183" s="1037" t="b">
        <f>IF('Innend. Leicht, LL-Steine'!$B12&gt;0,'Innend. Leicht, LL-Steine'!B12)</f>
        <v>0</v>
      </c>
      <c r="F183" s="1037" t="b">
        <f>IF('Innend. Leicht, LL-Steine'!$B12&gt;0,'Innend. Leicht, LL-Steine'!C12)</f>
        <v>0</v>
      </c>
      <c r="G183" s="1037" t="b">
        <f>IF('Innend. Leicht, LL-Steine'!$B12&gt;0,'Innend. Leicht, LL-Steine'!D12)</f>
        <v>0</v>
      </c>
      <c r="H183" s="1038" t="b">
        <f>IF('Innend. Leicht, LL-Steine'!$B12&gt;0,'Innend. Leicht, LL-Steine'!E12)</f>
        <v>0</v>
      </c>
      <c r="I183" s="1038" t="b">
        <f>IF('Innend. Leicht, LL-Steine'!$B12&gt;0,'Innend. Leicht, LL-Steine'!F12)</f>
        <v>0</v>
      </c>
      <c r="J183" s="1038" t="b">
        <f>IF('Innend. Leicht, LL-Steine'!$B12&gt;0,'Innend. Leicht, LL-Steine'!G12)</f>
        <v>0</v>
      </c>
      <c r="K183" s="1039"/>
      <c r="L183" s="1039"/>
      <c r="M183" s="1043" t="b">
        <f>IF('Innend. Leicht, LL-Steine'!$B12&gt;0,'Innend. Leicht, LL-Steine'!I12)</f>
        <v>0</v>
      </c>
      <c r="N183" s="1046" t="b">
        <f>IF('Innend. Leicht, LL-Steine'!$B12&gt;0,'Innend. Leicht, LL-Steine'!U12)</f>
        <v>0</v>
      </c>
      <c r="O183" s="1038" t="b">
        <f>IF('Innend. Leicht, LL-Steine'!$B12&gt;0,'Innend. Leicht, LL-Steine'!V12)</f>
        <v>0</v>
      </c>
      <c r="P183" s="783"/>
    </row>
    <row r="184" spans="5:16" ht="12.75" customHeight="1" x14ac:dyDescent="0.2">
      <c r="E184" s="1037" t="b">
        <f>IF('Innend. Leicht, LL-Steine'!$B13&gt;0,'Innend. Leicht, LL-Steine'!B13)</f>
        <v>0</v>
      </c>
      <c r="F184" s="1037" t="b">
        <f>IF('Innend. Leicht, LL-Steine'!$B13&gt;0,'Innend. Leicht, LL-Steine'!C13)</f>
        <v>0</v>
      </c>
      <c r="G184" s="1037" t="b">
        <f>IF('Innend. Leicht, LL-Steine'!$B13&gt;0,'Innend. Leicht, LL-Steine'!D13)</f>
        <v>0</v>
      </c>
      <c r="H184" s="1038" t="b">
        <f>IF('Innend. Leicht, LL-Steine'!$B13&gt;0,'Innend. Leicht, LL-Steine'!E13)</f>
        <v>0</v>
      </c>
      <c r="I184" s="1038" t="b">
        <f>IF('Innend. Leicht, LL-Steine'!$B13&gt;0,'Innend. Leicht, LL-Steine'!F13)</f>
        <v>0</v>
      </c>
      <c r="J184" s="1038" t="b">
        <f>IF('Innend. Leicht, LL-Steine'!$B13&gt;0,'Innend. Leicht, LL-Steine'!G13)</f>
        <v>0</v>
      </c>
      <c r="K184" s="1039"/>
      <c r="L184" s="1039"/>
      <c r="M184" s="1043" t="b">
        <f>IF('Innend. Leicht, LL-Steine'!$B13&gt;0,'Innend. Leicht, LL-Steine'!I13)</f>
        <v>0</v>
      </c>
      <c r="N184" s="1046" t="b">
        <f>IF('Innend. Leicht, LL-Steine'!$B13&gt;0,'Innend. Leicht, LL-Steine'!U13)</f>
        <v>0</v>
      </c>
      <c r="O184" s="1038" t="b">
        <f>IF('Innend. Leicht, LL-Steine'!$B13&gt;0,'Innend. Leicht, LL-Steine'!V13)</f>
        <v>0</v>
      </c>
      <c r="P184" s="783"/>
    </row>
    <row r="185" spans="5:16" ht="12.75" customHeight="1" x14ac:dyDescent="0.2">
      <c r="E185" s="1037" t="b">
        <f>IF('Innend. Leicht, LL-Steine'!$B14&gt;0,'Innend. Leicht, LL-Steine'!B14)</f>
        <v>0</v>
      </c>
      <c r="F185" s="1037" t="b">
        <f>IF('Innend. Leicht, LL-Steine'!$B14&gt;0,'Innend. Leicht, LL-Steine'!C14)</f>
        <v>0</v>
      </c>
      <c r="G185" s="1037" t="b">
        <f>IF('Innend. Leicht, LL-Steine'!$B14&gt;0,'Innend. Leicht, LL-Steine'!D14)</f>
        <v>0</v>
      </c>
      <c r="H185" s="1038" t="b">
        <f>IF('Innend. Leicht, LL-Steine'!$B14&gt;0,'Innend. Leicht, LL-Steine'!E14)</f>
        <v>0</v>
      </c>
      <c r="I185" s="1038" t="b">
        <f>IF('Innend. Leicht, LL-Steine'!$B14&gt;0,'Innend. Leicht, LL-Steine'!F14)</f>
        <v>0</v>
      </c>
      <c r="J185" s="1038" t="b">
        <f>IF('Innend. Leicht, LL-Steine'!$B14&gt;0,'Innend. Leicht, LL-Steine'!G14)</f>
        <v>0</v>
      </c>
      <c r="K185" s="1039"/>
      <c r="L185" s="1039"/>
      <c r="M185" s="1043" t="b">
        <f>IF('Innend. Leicht, LL-Steine'!$B14&gt;0,'Innend. Leicht, LL-Steine'!I14)</f>
        <v>0</v>
      </c>
      <c r="N185" s="1046" t="b">
        <f>IF('Innend. Leicht, LL-Steine'!$B14&gt;0,'Innend. Leicht, LL-Steine'!U14)</f>
        <v>0</v>
      </c>
      <c r="O185" s="1038" t="b">
        <f>IF('Innend. Leicht, LL-Steine'!$B14&gt;0,'Innend. Leicht, LL-Steine'!V14)</f>
        <v>0</v>
      </c>
      <c r="P185" s="783"/>
    </row>
    <row r="186" spans="5:16" ht="12.75" customHeight="1" x14ac:dyDescent="0.2">
      <c r="E186" s="1037" t="b">
        <f>IF('Innend. Leicht, LL-Steine'!$B15&gt;0,'Innend. Leicht, LL-Steine'!B15)</f>
        <v>0</v>
      </c>
      <c r="F186" s="1037" t="b">
        <f>IF('Innend. Leicht, LL-Steine'!$B15&gt;0,'Innend. Leicht, LL-Steine'!C15)</f>
        <v>0</v>
      </c>
      <c r="G186" s="1037" t="b">
        <f>IF('Innend. Leicht, LL-Steine'!$B15&gt;0,'Innend. Leicht, LL-Steine'!D15)</f>
        <v>0</v>
      </c>
      <c r="H186" s="1038" t="b">
        <f>IF('Innend. Leicht, LL-Steine'!$B15&gt;0,'Innend. Leicht, LL-Steine'!E15)</f>
        <v>0</v>
      </c>
      <c r="I186" s="1038" t="b">
        <f>IF('Innend. Leicht, LL-Steine'!$B15&gt;0,'Innend. Leicht, LL-Steine'!F15)</f>
        <v>0</v>
      </c>
      <c r="J186" s="1038" t="b">
        <f>IF('Innend. Leicht, LL-Steine'!$B15&gt;0,'Innend. Leicht, LL-Steine'!G15)</f>
        <v>0</v>
      </c>
      <c r="K186" s="1039"/>
      <c r="L186" s="1039"/>
      <c r="M186" s="1043" t="b">
        <f>IF('Innend. Leicht, LL-Steine'!$B15&gt;0,'Innend. Leicht, LL-Steine'!I15)</f>
        <v>0</v>
      </c>
      <c r="N186" s="1046" t="b">
        <f>IF('Innend. Leicht, LL-Steine'!$B15&gt;0,'Innend. Leicht, LL-Steine'!U15)</f>
        <v>0</v>
      </c>
      <c r="O186" s="1038" t="b">
        <f>IF('Innend. Leicht, LL-Steine'!$B15&gt;0,'Innend. Leicht, LL-Steine'!V15)</f>
        <v>0</v>
      </c>
      <c r="P186" s="783"/>
    </row>
    <row r="187" spans="5:16" ht="12.75" customHeight="1" x14ac:dyDescent="0.2">
      <c r="E187" s="1037" t="b">
        <f>IF('Innend. Leicht, LL-Steine'!$B16&gt;0,'Innend. Leicht, LL-Steine'!B16)</f>
        <v>0</v>
      </c>
      <c r="F187" s="1037" t="b">
        <f>IF('Innend. Leicht, LL-Steine'!$B16&gt;0,'Innend. Leicht, LL-Steine'!C16)</f>
        <v>0</v>
      </c>
      <c r="G187" s="1037" t="b">
        <f>IF('Innend. Leicht, LL-Steine'!$B16&gt;0,'Innend. Leicht, LL-Steine'!D16)</f>
        <v>0</v>
      </c>
      <c r="H187" s="1038" t="b">
        <f>IF('Innend. Leicht, LL-Steine'!$B16&gt;0,'Innend. Leicht, LL-Steine'!E16)</f>
        <v>0</v>
      </c>
      <c r="I187" s="1038" t="b">
        <f>IF('Innend. Leicht, LL-Steine'!$B16&gt;0,'Innend. Leicht, LL-Steine'!F16)</f>
        <v>0</v>
      </c>
      <c r="J187" s="1038" t="b">
        <f>IF('Innend. Leicht, LL-Steine'!$B16&gt;0,'Innend. Leicht, LL-Steine'!G16)</f>
        <v>0</v>
      </c>
      <c r="K187" s="1039"/>
      <c r="L187" s="1039"/>
      <c r="M187" s="1043" t="b">
        <f>IF('Innend. Leicht, LL-Steine'!$B16&gt;0,'Innend. Leicht, LL-Steine'!I16)</f>
        <v>0</v>
      </c>
      <c r="N187" s="1046" t="b">
        <f>IF('Innend. Leicht, LL-Steine'!$B16&gt;0,'Innend. Leicht, LL-Steine'!U16)</f>
        <v>0</v>
      </c>
      <c r="O187" s="1038" t="b">
        <f>IF('Innend. Leicht, LL-Steine'!$B16&gt;0,'Innend. Leicht, LL-Steine'!V16)</f>
        <v>0</v>
      </c>
      <c r="P187" s="783"/>
    </row>
    <row r="188" spans="5:16" ht="12.75" customHeight="1" x14ac:dyDescent="0.2">
      <c r="E188" s="1037" t="b">
        <f>IF('Innend. Leicht, LL-Steine'!$B17&gt;0,'Innend. Leicht, LL-Steine'!B17)</f>
        <v>0</v>
      </c>
      <c r="F188" s="1037" t="b">
        <f>IF('Innend. Leicht, LL-Steine'!$B17&gt;0,'Innend. Leicht, LL-Steine'!C17)</f>
        <v>0</v>
      </c>
      <c r="G188" s="1037" t="b">
        <f>IF('Innend. Leicht, LL-Steine'!$B17&gt;0,'Innend. Leicht, LL-Steine'!D17)</f>
        <v>0</v>
      </c>
      <c r="H188" s="1038" t="b">
        <f>IF('Innend. Leicht, LL-Steine'!$B17&gt;0,'Innend. Leicht, LL-Steine'!E17)</f>
        <v>0</v>
      </c>
      <c r="I188" s="1038" t="b">
        <f>IF('Innend. Leicht, LL-Steine'!$B17&gt;0,'Innend. Leicht, LL-Steine'!F17)</f>
        <v>0</v>
      </c>
      <c r="J188" s="1038" t="b">
        <f>IF('Innend. Leicht, LL-Steine'!$B17&gt;0,'Innend. Leicht, LL-Steine'!G17)</f>
        <v>0</v>
      </c>
      <c r="K188" s="1039"/>
      <c r="L188" s="1039"/>
      <c r="M188" s="1043" t="b">
        <f>IF('Innend. Leicht, LL-Steine'!$B17&gt;0,'Innend. Leicht, LL-Steine'!I17)</f>
        <v>0</v>
      </c>
      <c r="N188" s="1046" t="b">
        <f>IF('Innend. Leicht, LL-Steine'!$B17&gt;0,'Innend. Leicht, LL-Steine'!U17)</f>
        <v>0</v>
      </c>
      <c r="O188" s="1038" t="b">
        <f>IF('Innend. Leicht, LL-Steine'!$B17&gt;0,'Innend. Leicht, LL-Steine'!V17)</f>
        <v>0</v>
      </c>
      <c r="P188" s="783"/>
    </row>
    <row r="189" spans="5:16" ht="12.75" customHeight="1" x14ac:dyDescent="0.2">
      <c r="E189" s="1037" t="b">
        <f>IF('Innend. Leicht, LL-Steine'!$B18&gt;0,'Innend. Leicht, LL-Steine'!B18)</f>
        <v>0</v>
      </c>
      <c r="F189" s="1037" t="b">
        <f>IF('Innend. Leicht, LL-Steine'!$B18&gt;0,'Innend. Leicht, LL-Steine'!C18)</f>
        <v>0</v>
      </c>
      <c r="G189" s="1037" t="b">
        <f>IF('Innend. Leicht, LL-Steine'!$B18&gt;0,'Innend. Leicht, LL-Steine'!D18)</f>
        <v>0</v>
      </c>
      <c r="H189" s="1038" t="b">
        <f>IF('Innend. Leicht, LL-Steine'!$B18&gt;0,'Innend. Leicht, LL-Steine'!E18)</f>
        <v>0</v>
      </c>
      <c r="I189" s="1038" t="b">
        <f>IF('Innend. Leicht, LL-Steine'!$B18&gt;0,'Innend. Leicht, LL-Steine'!F18)</f>
        <v>0</v>
      </c>
      <c r="J189" s="1038" t="b">
        <f>IF('Innend. Leicht, LL-Steine'!$B18&gt;0,'Innend. Leicht, LL-Steine'!G18)</f>
        <v>0</v>
      </c>
      <c r="K189" s="1039"/>
      <c r="L189" s="1039"/>
      <c r="M189" s="1043" t="b">
        <f>IF('Innend. Leicht, LL-Steine'!$B18&gt;0,'Innend. Leicht, LL-Steine'!I18)</f>
        <v>0</v>
      </c>
      <c r="N189" s="1046" t="b">
        <f>IF('Innend. Leicht, LL-Steine'!$B18&gt;0,'Innend. Leicht, LL-Steine'!U18)</f>
        <v>0</v>
      </c>
      <c r="O189" s="1038" t="b">
        <f>IF('Innend. Leicht, LL-Steine'!$B18&gt;0,'Innend. Leicht, LL-Steine'!V18)</f>
        <v>0</v>
      </c>
      <c r="P189" s="783"/>
    </row>
    <row r="190" spans="5:16" ht="12.75" customHeight="1" x14ac:dyDescent="0.2">
      <c r="E190" s="1037" t="b">
        <f>IF('Innend. Leicht, LL-Steine'!$B19&gt;0,'Innend. Leicht, LL-Steine'!B19)</f>
        <v>0</v>
      </c>
      <c r="F190" s="1037" t="b">
        <f>IF('Innend. Leicht, LL-Steine'!$B19&gt;0,'Innend. Leicht, LL-Steine'!C19)</f>
        <v>0</v>
      </c>
      <c r="G190" s="1037" t="b">
        <f>IF('Innend. Leicht, LL-Steine'!$B19&gt;0,'Innend. Leicht, LL-Steine'!D19)</f>
        <v>0</v>
      </c>
      <c r="H190" s="1038" t="b">
        <f>IF('Innend. Leicht, LL-Steine'!$B19&gt;0,'Innend. Leicht, LL-Steine'!E19)</f>
        <v>0</v>
      </c>
      <c r="I190" s="1038" t="b">
        <f>IF('Innend. Leicht, LL-Steine'!$B19&gt;0,'Innend. Leicht, LL-Steine'!F19)</f>
        <v>0</v>
      </c>
      <c r="J190" s="1038" t="b">
        <f>IF('Innend. Leicht, LL-Steine'!$B19&gt;0,'Innend. Leicht, LL-Steine'!G19)</f>
        <v>0</v>
      </c>
      <c r="K190" s="1039"/>
      <c r="L190" s="1039"/>
      <c r="M190" s="1043" t="b">
        <f>IF('Innend. Leicht, LL-Steine'!$B19&gt;0,'Innend. Leicht, LL-Steine'!I19)</f>
        <v>0</v>
      </c>
      <c r="N190" s="1046" t="b">
        <f>IF('Innend. Leicht, LL-Steine'!$B19&gt;0,'Innend. Leicht, LL-Steine'!U19)</f>
        <v>0</v>
      </c>
      <c r="O190" s="1038" t="b">
        <f>IF('Innend. Leicht, LL-Steine'!$B19&gt;0,'Innend. Leicht, LL-Steine'!V19)</f>
        <v>0</v>
      </c>
      <c r="P190" s="783"/>
    </row>
    <row r="191" spans="5:16" ht="12.75" customHeight="1" x14ac:dyDescent="0.2">
      <c r="E191" s="1037" t="b">
        <f>IF('Innend. Leicht, LL-Steine'!$B20&gt;0,'Innend. Leicht, LL-Steine'!B20)</f>
        <v>0</v>
      </c>
      <c r="F191" s="1037" t="b">
        <f>IF('Innend. Leicht, LL-Steine'!$B20&gt;0,'Innend. Leicht, LL-Steine'!C20)</f>
        <v>0</v>
      </c>
      <c r="G191" s="1037" t="b">
        <f>IF('Innend. Leicht, LL-Steine'!$B20&gt;0,'Innend. Leicht, LL-Steine'!D20)</f>
        <v>0</v>
      </c>
      <c r="H191" s="1038" t="b">
        <f>IF('Innend. Leicht, LL-Steine'!$B20&gt;0,'Innend. Leicht, LL-Steine'!E20)</f>
        <v>0</v>
      </c>
      <c r="I191" s="1038" t="b">
        <f>IF('Innend. Leicht, LL-Steine'!$B20&gt;0,'Innend. Leicht, LL-Steine'!F20)</f>
        <v>0</v>
      </c>
      <c r="J191" s="1038" t="b">
        <f>IF('Innend. Leicht, LL-Steine'!$B20&gt;0,'Innend. Leicht, LL-Steine'!G20)</f>
        <v>0</v>
      </c>
      <c r="K191" s="1039"/>
      <c r="L191" s="1039"/>
      <c r="M191" s="1043" t="b">
        <f>IF('Innend. Leicht, LL-Steine'!$B20&gt;0,'Innend. Leicht, LL-Steine'!I20)</f>
        <v>0</v>
      </c>
      <c r="N191" s="1046" t="b">
        <f>IF('Innend. Leicht, LL-Steine'!$B20&gt;0,'Innend. Leicht, LL-Steine'!U20)</f>
        <v>0</v>
      </c>
      <c r="O191" s="1038" t="b">
        <f>IF('Innend. Leicht, LL-Steine'!$B20&gt;0,'Innend. Leicht, LL-Steine'!V20)</f>
        <v>0</v>
      </c>
      <c r="P191" s="783"/>
    </row>
    <row r="192" spans="5:16" ht="12.75" customHeight="1" x14ac:dyDescent="0.2">
      <c r="E192" s="1037" t="b">
        <f>IF('Innend. Leicht, LL-Steine'!$B21&gt;0,'Innend. Leicht, LL-Steine'!B21)</f>
        <v>0</v>
      </c>
      <c r="F192" s="1037" t="b">
        <f>IF('Innend. Leicht, LL-Steine'!$B21&gt;0,'Innend. Leicht, LL-Steine'!C21)</f>
        <v>0</v>
      </c>
      <c r="G192" s="1037" t="b">
        <f>IF('Innend. Leicht, LL-Steine'!$B21&gt;0,'Innend. Leicht, LL-Steine'!D21)</f>
        <v>0</v>
      </c>
      <c r="H192" s="1038" t="b">
        <f>IF('Innend. Leicht, LL-Steine'!$B21&gt;0,'Innend. Leicht, LL-Steine'!E21)</f>
        <v>0</v>
      </c>
      <c r="I192" s="1038" t="b">
        <f>IF('Innend. Leicht, LL-Steine'!$B21&gt;0,'Innend. Leicht, LL-Steine'!F21)</f>
        <v>0</v>
      </c>
      <c r="J192" s="1038" t="b">
        <f>IF('Innend. Leicht, LL-Steine'!$B21&gt;0,'Innend. Leicht, LL-Steine'!G21)</f>
        <v>0</v>
      </c>
      <c r="K192" s="1039"/>
      <c r="L192" s="1039"/>
      <c r="M192" s="1043" t="b">
        <f>IF('Innend. Leicht, LL-Steine'!$B21&gt;0,'Innend. Leicht, LL-Steine'!I21)</f>
        <v>0</v>
      </c>
      <c r="N192" s="1046" t="b">
        <f>IF('Innend. Leicht, LL-Steine'!$B21&gt;0,'Innend. Leicht, LL-Steine'!U21)</f>
        <v>0</v>
      </c>
      <c r="O192" s="1038" t="b">
        <f>IF('Innend. Leicht, LL-Steine'!$B21&gt;0,'Innend. Leicht, LL-Steine'!V21)</f>
        <v>0</v>
      </c>
      <c r="P192" s="783"/>
    </row>
    <row r="193" spans="5:16" ht="12.75" customHeight="1" x14ac:dyDescent="0.2">
      <c r="E193" s="1037" t="b">
        <f>IF(Mauerwerk!$B8&gt;0,Mauerwerk!B8)</f>
        <v>0</v>
      </c>
      <c r="F193" s="1037" t="b">
        <f>IF(Mauerwerk!$B8&gt;0,Mauerwerk!C8)</f>
        <v>0</v>
      </c>
      <c r="G193" s="1037" t="b">
        <f>IF(Mauerwerk!$B8&gt;0,Mauerwerk!D8)</f>
        <v>0</v>
      </c>
      <c r="H193" s="1038" t="b">
        <f>IF(Mauerwerk!$B8&gt;0,Mauerwerk!E8)</f>
        <v>0</v>
      </c>
      <c r="I193" s="1038" t="b">
        <f>IF(Mauerwerk!$B8&gt;0,Mauerwerk!F8)</f>
        <v>0</v>
      </c>
      <c r="J193" s="1038" t="b">
        <f>IF(Mauerwerk!$B8&gt;0,Mauerwerk!G8)</f>
        <v>0</v>
      </c>
      <c r="K193" s="1039"/>
      <c r="L193" s="1039"/>
      <c r="M193" s="1043" t="b">
        <f>IF(Mauerwerk!$B8&gt;0,Mauerwerk!I8)</f>
        <v>0</v>
      </c>
      <c r="N193" s="1046" t="b">
        <f>IF(Mauerwerk!$B8&gt;0,Mauerwerk!U8)</f>
        <v>0</v>
      </c>
      <c r="O193" s="1038" t="b">
        <f>IF(Mauerwerk!$B8&gt;0,Mauerwerk!V8)</f>
        <v>0</v>
      </c>
      <c r="P193" s="783"/>
    </row>
    <row r="194" spans="5:16" ht="12.75" customHeight="1" x14ac:dyDescent="0.2">
      <c r="E194" s="1037" t="b">
        <f>IF(Mauerwerk!$B9&gt;0,Mauerwerk!B9)</f>
        <v>0</v>
      </c>
      <c r="F194" s="1037" t="b">
        <f>IF(Mauerwerk!$B9&gt;0,Mauerwerk!C9)</f>
        <v>0</v>
      </c>
      <c r="G194" s="1037" t="b">
        <f>IF(Mauerwerk!$B9&gt;0,Mauerwerk!D9)</f>
        <v>0</v>
      </c>
      <c r="H194" s="1038" t="b">
        <f>IF(Mauerwerk!$B9&gt;0,Mauerwerk!E9)</f>
        <v>0</v>
      </c>
      <c r="I194" s="1038" t="b">
        <f>IF(Mauerwerk!$B9&gt;0,Mauerwerk!F9)</f>
        <v>0</v>
      </c>
      <c r="J194" s="1038" t="b">
        <f>IF(Mauerwerk!$B9&gt;0,Mauerwerk!G9)</f>
        <v>0</v>
      </c>
      <c r="K194" s="1039"/>
      <c r="L194" s="1039"/>
      <c r="M194" s="1043" t="b">
        <f>IF(Mauerwerk!$B9&gt;0,Mauerwerk!I9)</f>
        <v>0</v>
      </c>
      <c r="N194" s="1046" t="b">
        <f>IF(Mauerwerk!$B9&gt;0,Mauerwerk!U9)</f>
        <v>0</v>
      </c>
      <c r="O194" s="1038" t="b">
        <f>IF(Mauerwerk!$B9&gt;0,Mauerwerk!V9)</f>
        <v>0</v>
      </c>
      <c r="P194" s="783"/>
    </row>
    <row r="195" spans="5:16" ht="12.75" customHeight="1" x14ac:dyDescent="0.2">
      <c r="E195" s="1037" t="b">
        <f>IF(Mauerwerk!$B10&gt;0,Mauerwerk!B10)</f>
        <v>0</v>
      </c>
      <c r="F195" s="1037" t="b">
        <f>IF(Mauerwerk!$B10&gt;0,Mauerwerk!C10)</f>
        <v>0</v>
      </c>
      <c r="G195" s="1037" t="b">
        <f>IF(Mauerwerk!$B10&gt;0,Mauerwerk!D10)</f>
        <v>0</v>
      </c>
      <c r="H195" s="1038" t="b">
        <f>IF(Mauerwerk!$B10&gt;0,Mauerwerk!E10)</f>
        <v>0</v>
      </c>
      <c r="I195" s="1038" t="b">
        <f>IF(Mauerwerk!$B10&gt;0,Mauerwerk!F10)</f>
        <v>0</v>
      </c>
      <c r="J195" s="1038" t="b">
        <f>IF(Mauerwerk!$B10&gt;0,Mauerwerk!G10)</f>
        <v>0</v>
      </c>
      <c r="K195" s="1039"/>
      <c r="L195" s="1039"/>
      <c r="M195" s="1043" t="b">
        <f>IF(Mauerwerk!$B10&gt;0,Mauerwerk!I10)</f>
        <v>0</v>
      </c>
      <c r="N195" s="1046" t="b">
        <f>IF(Mauerwerk!$B10&gt;0,Mauerwerk!U10)</f>
        <v>0</v>
      </c>
      <c r="O195" s="1038" t="b">
        <f>IF(Mauerwerk!$B10&gt;0,Mauerwerk!V10)</f>
        <v>0</v>
      </c>
      <c r="P195" s="783"/>
    </row>
    <row r="196" spans="5:16" ht="12.75" customHeight="1" x14ac:dyDescent="0.2">
      <c r="E196" s="1037" t="b">
        <f>IF(Mauerwerk!$B11&gt;0,Mauerwerk!B11)</f>
        <v>0</v>
      </c>
      <c r="F196" s="1037" t="b">
        <f>IF(Mauerwerk!$B11&gt;0,Mauerwerk!C11)</f>
        <v>0</v>
      </c>
      <c r="G196" s="1037" t="b">
        <f>IF(Mauerwerk!$B11&gt;0,Mauerwerk!D11)</f>
        <v>0</v>
      </c>
      <c r="H196" s="1038" t="b">
        <f>IF(Mauerwerk!$B11&gt;0,Mauerwerk!E11)</f>
        <v>0</v>
      </c>
      <c r="I196" s="1038" t="b">
        <f>IF(Mauerwerk!$B11&gt;0,Mauerwerk!F11)</f>
        <v>0</v>
      </c>
      <c r="J196" s="1038" t="b">
        <f>IF(Mauerwerk!$B11&gt;0,Mauerwerk!G11)</f>
        <v>0</v>
      </c>
      <c r="K196" s="1039"/>
      <c r="L196" s="1039"/>
      <c r="M196" s="1043" t="b">
        <f>IF(Mauerwerk!$B11&gt;0,Mauerwerk!I11)</f>
        <v>0</v>
      </c>
      <c r="N196" s="1046" t="b">
        <f>IF(Mauerwerk!$B11&gt;0,Mauerwerk!U11)</f>
        <v>0</v>
      </c>
      <c r="O196" s="1038" t="b">
        <f>IF(Mauerwerk!$B11&gt;0,Mauerwerk!V11)</f>
        <v>0</v>
      </c>
      <c r="P196" s="783"/>
    </row>
    <row r="197" spans="5:16" ht="12.75" customHeight="1" x14ac:dyDescent="0.2">
      <c r="E197" s="1037" t="b">
        <f>IF(Mauerwerk!$B12&gt;0,Mauerwerk!B12)</f>
        <v>0</v>
      </c>
      <c r="F197" s="1037" t="b">
        <f>IF(Mauerwerk!$B12&gt;0,Mauerwerk!C12)</f>
        <v>0</v>
      </c>
      <c r="G197" s="1037" t="b">
        <f>IF(Mauerwerk!$B12&gt;0,Mauerwerk!D12)</f>
        <v>0</v>
      </c>
      <c r="H197" s="1038" t="b">
        <f>IF(Mauerwerk!$B12&gt;0,Mauerwerk!E12)</f>
        <v>0</v>
      </c>
      <c r="I197" s="1038" t="b">
        <f>IF(Mauerwerk!$B12&gt;0,Mauerwerk!F12)</f>
        <v>0</v>
      </c>
      <c r="J197" s="1038" t="b">
        <f>IF(Mauerwerk!$B12&gt;0,Mauerwerk!G12)</f>
        <v>0</v>
      </c>
      <c r="K197" s="1039"/>
      <c r="L197" s="1039"/>
      <c r="M197" s="1043" t="b">
        <f>IF(Mauerwerk!$B12&gt;0,Mauerwerk!I12)</f>
        <v>0</v>
      </c>
      <c r="N197" s="1046" t="b">
        <f>IF(Mauerwerk!$B12&gt;0,Mauerwerk!U12)</f>
        <v>0</v>
      </c>
      <c r="O197" s="1038" t="b">
        <f>IF(Mauerwerk!$B12&gt;0,Mauerwerk!V12)</f>
        <v>0</v>
      </c>
      <c r="P197" s="783"/>
    </row>
    <row r="198" spans="5:16" ht="12.75" customHeight="1" x14ac:dyDescent="0.2">
      <c r="E198" s="1037" t="b">
        <f>IF(Mauerwerk!$B13&gt;0,Mauerwerk!B13)</f>
        <v>0</v>
      </c>
      <c r="F198" s="1037" t="b">
        <f>IF(Mauerwerk!$B13&gt;0,Mauerwerk!C13)</f>
        <v>0</v>
      </c>
      <c r="G198" s="1037" t="b">
        <f>IF(Mauerwerk!$B13&gt;0,Mauerwerk!D13)</f>
        <v>0</v>
      </c>
      <c r="H198" s="1038" t="b">
        <f>IF(Mauerwerk!$B13&gt;0,Mauerwerk!E13)</f>
        <v>0</v>
      </c>
      <c r="I198" s="1038" t="b">
        <f>IF(Mauerwerk!$B13&gt;0,Mauerwerk!F13)</f>
        <v>0</v>
      </c>
      <c r="J198" s="1038" t="b">
        <f>IF(Mauerwerk!$B13&gt;0,Mauerwerk!G13)</f>
        <v>0</v>
      </c>
      <c r="K198" s="1039"/>
      <c r="L198" s="1039"/>
      <c r="M198" s="1043" t="b">
        <f>IF(Mauerwerk!$B13&gt;0,Mauerwerk!I13)</f>
        <v>0</v>
      </c>
      <c r="N198" s="1046" t="b">
        <f>IF(Mauerwerk!$B13&gt;0,Mauerwerk!U13)</f>
        <v>0</v>
      </c>
      <c r="O198" s="1038" t="b">
        <f>IF(Mauerwerk!$B13&gt;0,Mauerwerk!V13)</f>
        <v>0</v>
      </c>
      <c r="P198" s="783"/>
    </row>
    <row r="199" spans="5:16" ht="12.75" customHeight="1" x14ac:dyDescent="0.2">
      <c r="E199" s="1037" t="b">
        <f>IF(Mauerwerk!$B14&gt;0,Mauerwerk!B14)</f>
        <v>0</v>
      </c>
      <c r="F199" s="1037" t="b">
        <f>IF(Mauerwerk!$B14&gt;0,Mauerwerk!C14)</f>
        <v>0</v>
      </c>
      <c r="G199" s="1037" t="b">
        <f>IF(Mauerwerk!$B14&gt;0,Mauerwerk!D14)</f>
        <v>0</v>
      </c>
      <c r="H199" s="1038" t="b">
        <f>IF(Mauerwerk!$B14&gt;0,Mauerwerk!E14)</f>
        <v>0</v>
      </c>
      <c r="I199" s="1038" t="b">
        <f>IF(Mauerwerk!$B14&gt;0,Mauerwerk!F14)</f>
        <v>0</v>
      </c>
      <c r="J199" s="1038" t="b">
        <f>IF(Mauerwerk!$B14&gt;0,Mauerwerk!G14)</f>
        <v>0</v>
      </c>
      <c r="K199" s="1039"/>
      <c r="L199" s="1039"/>
      <c r="M199" s="1043" t="b">
        <f>IF(Mauerwerk!$B14&gt;0,Mauerwerk!I14)</f>
        <v>0</v>
      </c>
      <c r="N199" s="1046" t="b">
        <f>IF(Mauerwerk!$B14&gt;0,Mauerwerk!U14)</f>
        <v>0</v>
      </c>
      <c r="O199" s="1038" t="b">
        <f>IF(Mauerwerk!$B14&gt;0,Mauerwerk!V14)</f>
        <v>0</v>
      </c>
      <c r="P199" s="783"/>
    </row>
    <row r="200" spans="5:16" ht="12.75" customHeight="1" x14ac:dyDescent="0.2">
      <c r="E200" s="1037" t="b">
        <f>IF(Mauerwerk!$B15&gt;0,Mauerwerk!B15)</f>
        <v>0</v>
      </c>
      <c r="F200" s="1037" t="b">
        <f>IF(Mauerwerk!$B15&gt;0,Mauerwerk!C15)</f>
        <v>0</v>
      </c>
      <c r="G200" s="1037" t="b">
        <f>IF(Mauerwerk!$B15&gt;0,Mauerwerk!D15)</f>
        <v>0</v>
      </c>
      <c r="H200" s="1038" t="b">
        <f>IF(Mauerwerk!$B15&gt;0,Mauerwerk!E15)</f>
        <v>0</v>
      </c>
      <c r="I200" s="1038" t="b">
        <f>IF(Mauerwerk!$B15&gt;0,Mauerwerk!F15)</f>
        <v>0</v>
      </c>
      <c r="J200" s="1038" t="b">
        <f>IF(Mauerwerk!$B15&gt;0,Mauerwerk!G15)</f>
        <v>0</v>
      </c>
      <c r="K200" s="1039"/>
      <c r="L200" s="1039"/>
      <c r="M200" s="1043" t="b">
        <f>IF(Mauerwerk!$B15&gt;0,Mauerwerk!I15)</f>
        <v>0</v>
      </c>
      <c r="N200" s="1046" t="b">
        <f>IF(Mauerwerk!$B15&gt;0,Mauerwerk!U15)</f>
        <v>0</v>
      </c>
      <c r="O200" s="1038" t="b">
        <f>IF(Mauerwerk!$B15&gt;0,Mauerwerk!V15)</f>
        <v>0</v>
      </c>
      <c r="P200" s="783"/>
    </row>
    <row r="201" spans="5:16" ht="12.75" customHeight="1" x14ac:dyDescent="0.2">
      <c r="E201" s="1037" t="b">
        <f>IF(Mauerwerk!$B16&gt;0,Mauerwerk!B16)</f>
        <v>0</v>
      </c>
      <c r="F201" s="1037" t="b">
        <f>IF(Mauerwerk!$B16&gt;0,Mauerwerk!C16)</f>
        <v>0</v>
      </c>
      <c r="G201" s="1037" t="b">
        <f>IF(Mauerwerk!$B16&gt;0,Mauerwerk!D16)</f>
        <v>0</v>
      </c>
      <c r="H201" s="1038" t="b">
        <f>IF(Mauerwerk!$B16&gt;0,Mauerwerk!E16)</f>
        <v>0</v>
      </c>
      <c r="I201" s="1038" t="b">
        <f>IF(Mauerwerk!$B16&gt;0,Mauerwerk!F16)</f>
        <v>0</v>
      </c>
      <c r="J201" s="1038" t="b">
        <f>IF(Mauerwerk!$B16&gt;0,Mauerwerk!G16)</f>
        <v>0</v>
      </c>
      <c r="K201" s="1039"/>
      <c r="L201" s="1039"/>
      <c r="M201" s="1043" t="b">
        <f>IF(Mauerwerk!$B16&gt;0,Mauerwerk!I16)</f>
        <v>0</v>
      </c>
      <c r="N201" s="1046" t="b">
        <f>IF(Mauerwerk!$B16&gt;0,Mauerwerk!U16)</f>
        <v>0</v>
      </c>
      <c r="O201" s="1038" t="b">
        <f>IF(Mauerwerk!$B16&gt;0,Mauerwerk!V16)</f>
        <v>0</v>
      </c>
      <c r="P201" s="783"/>
    </row>
    <row r="202" spans="5:16" ht="12.75" customHeight="1" x14ac:dyDescent="0.2">
      <c r="E202" s="1037" t="b">
        <f>IF(Mauerwerk!$B17&gt;0,Mauerwerk!B17)</f>
        <v>0</v>
      </c>
      <c r="F202" s="1037" t="b">
        <f>IF(Mauerwerk!$B17&gt;0,Mauerwerk!C17)</f>
        <v>0</v>
      </c>
      <c r="G202" s="1037" t="b">
        <f>IF(Mauerwerk!$B17&gt;0,Mauerwerk!D17)</f>
        <v>0</v>
      </c>
      <c r="H202" s="1038" t="b">
        <f>IF(Mauerwerk!$B17&gt;0,Mauerwerk!E17)</f>
        <v>0</v>
      </c>
      <c r="I202" s="1038" t="b">
        <f>IF(Mauerwerk!$B17&gt;0,Mauerwerk!F17)</f>
        <v>0</v>
      </c>
      <c r="J202" s="1038" t="b">
        <f>IF(Mauerwerk!$B17&gt;0,Mauerwerk!G17)</f>
        <v>0</v>
      </c>
      <c r="K202" s="1039"/>
      <c r="L202" s="1039"/>
      <c r="M202" s="1043" t="b">
        <f>IF(Mauerwerk!$B17&gt;0,Mauerwerk!I17)</f>
        <v>0</v>
      </c>
      <c r="N202" s="1046" t="b">
        <f>IF(Mauerwerk!$B17&gt;0,Mauerwerk!U17)</f>
        <v>0</v>
      </c>
      <c r="O202" s="1038" t="b">
        <f>IF(Mauerwerk!$B17&gt;0,Mauerwerk!V17)</f>
        <v>0</v>
      </c>
      <c r="P202" s="783"/>
    </row>
    <row r="203" spans="5:16" ht="12.75" customHeight="1" x14ac:dyDescent="0.2">
      <c r="E203" s="1037" t="b">
        <f>IF(Mauerwerk!$B18&gt;0,Mauerwerk!B18)</f>
        <v>0</v>
      </c>
      <c r="F203" s="1037" t="b">
        <f>IF(Mauerwerk!$B18&gt;0,Mauerwerk!C18)</f>
        <v>0</v>
      </c>
      <c r="G203" s="1037" t="b">
        <f>IF(Mauerwerk!$B18&gt;0,Mauerwerk!D18)</f>
        <v>0</v>
      </c>
      <c r="H203" s="1038" t="b">
        <f>IF(Mauerwerk!$B18&gt;0,Mauerwerk!E18)</f>
        <v>0</v>
      </c>
      <c r="I203" s="1038" t="b">
        <f>IF(Mauerwerk!$B18&gt;0,Mauerwerk!F18)</f>
        <v>0</v>
      </c>
      <c r="J203" s="1038" t="b">
        <f>IF(Mauerwerk!$B18&gt;0,Mauerwerk!G18)</f>
        <v>0</v>
      </c>
      <c r="K203" s="1039"/>
      <c r="L203" s="1039"/>
      <c r="M203" s="1043" t="b">
        <f>IF(Mauerwerk!$B18&gt;0,Mauerwerk!I18)</f>
        <v>0</v>
      </c>
      <c r="N203" s="1046" t="b">
        <f>IF(Mauerwerk!$B18&gt;0,Mauerwerk!U18)</f>
        <v>0</v>
      </c>
      <c r="O203" s="1038" t="b">
        <f>IF(Mauerwerk!$B18&gt;0,Mauerwerk!V18)</f>
        <v>0</v>
      </c>
      <c r="P203" s="783"/>
    </row>
    <row r="204" spans="5:16" ht="12.75" customHeight="1" x14ac:dyDescent="0.2">
      <c r="E204" s="1037" t="b">
        <f>IF(Mauerwerk!$B19&gt;0,Mauerwerk!B19)</f>
        <v>0</v>
      </c>
      <c r="F204" s="1037" t="b">
        <f>IF(Mauerwerk!$B19&gt;0,Mauerwerk!C19)</f>
        <v>0</v>
      </c>
      <c r="G204" s="1037" t="b">
        <f>IF(Mauerwerk!$B19&gt;0,Mauerwerk!D19)</f>
        <v>0</v>
      </c>
      <c r="H204" s="1038" t="b">
        <f>IF(Mauerwerk!$B19&gt;0,Mauerwerk!E19)</f>
        <v>0</v>
      </c>
      <c r="I204" s="1038" t="b">
        <f>IF(Mauerwerk!$B19&gt;0,Mauerwerk!F19)</f>
        <v>0</v>
      </c>
      <c r="J204" s="1038" t="b">
        <f>IF(Mauerwerk!$B19&gt;0,Mauerwerk!G19)</f>
        <v>0</v>
      </c>
      <c r="K204" s="1039"/>
      <c r="L204" s="1039"/>
      <c r="M204" s="1043" t="b">
        <f>IF(Mauerwerk!$B19&gt;0,Mauerwerk!I19)</f>
        <v>0</v>
      </c>
      <c r="N204" s="1046" t="b">
        <f>IF(Mauerwerk!$B19&gt;0,Mauerwerk!U19)</f>
        <v>0</v>
      </c>
      <c r="O204" s="1038" t="b">
        <f>IF(Mauerwerk!$B19&gt;0,Mauerwerk!V19)</f>
        <v>0</v>
      </c>
      <c r="P204" s="783"/>
    </row>
    <row r="205" spans="5:16" ht="12.75" customHeight="1" x14ac:dyDescent="0.2">
      <c r="E205" s="1037" t="b">
        <f>IF(Mauerwerk!$B20&gt;0,Mauerwerk!B20)</f>
        <v>0</v>
      </c>
      <c r="F205" s="1037" t="b">
        <f>IF(Mauerwerk!$B20&gt;0,Mauerwerk!C20)</f>
        <v>0</v>
      </c>
      <c r="G205" s="1037" t="b">
        <f>IF(Mauerwerk!$B20&gt;0,Mauerwerk!D20)</f>
        <v>0</v>
      </c>
      <c r="H205" s="1038" t="b">
        <f>IF(Mauerwerk!$B20&gt;0,Mauerwerk!E20)</f>
        <v>0</v>
      </c>
      <c r="I205" s="1038" t="b">
        <f>IF(Mauerwerk!$B20&gt;0,Mauerwerk!F20)</f>
        <v>0</v>
      </c>
      <c r="J205" s="1038" t="b">
        <f>IF(Mauerwerk!$B20&gt;0,Mauerwerk!G20)</f>
        <v>0</v>
      </c>
      <c r="K205" s="1039"/>
      <c r="L205" s="1039"/>
      <c r="M205" s="1043" t="b">
        <f>IF(Mauerwerk!$B20&gt;0,Mauerwerk!I20)</f>
        <v>0</v>
      </c>
      <c r="N205" s="1046" t="b">
        <f>IF(Mauerwerk!$B20&gt;0,Mauerwerk!U20)</f>
        <v>0</v>
      </c>
      <c r="O205" s="1038" t="b">
        <f>IF(Mauerwerk!$B20&gt;0,Mauerwerk!V20)</f>
        <v>0</v>
      </c>
      <c r="P205" s="783"/>
    </row>
    <row r="206" spans="5:16" ht="12.75" customHeight="1" x14ac:dyDescent="0.2">
      <c r="E206" s="1037" t="b">
        <f>IF(Mauerwerk!$B21&gt;0,Mauerwerk!B21)</f>
        <v>0</v>
      </c>
      <c r="F206" s="1037" t="b">
        <f>IF(Mauerwerk!$B21&gt;0,Mauerwerk!C21)</f>
        <v>0</v>
      </c>
      <c r="G206" s="1037" t="b">
        <f>IF(Mauerwerk!$B21&gt;0,Mauerwerk!D21)</f>
        <v>0</v>
      </c>
      <c r="H206" s="1038" t="b">
        <f>IF(Mauerwerk!$B21&gt;0,Mauerwerk!E21)</f>
        <v>0</v>
      </c>
      <c r="I206" s="1038" t="b">
        <f>IF(Mauerwerk!$B21&gt;0,Mauerwerk!F21)</f>
        <v>0</v>
      </c>
      <c r="J206" s="1038" t="b">
        <f>IF(Mauerwerk!$B21&gt;0,Mauerwerk!G21)</f>
        <v>0</v>
      </c>
      <c r="K206" s="1039"/>
      <c r="L206" s="1039"/>
      <c r="M206" s="1043" t="b">
        <f>IF(Mauerwerk!$B21&gt;0,Mauerwerk!I21)</f>
        <v>0</v>
      </c>
      <c r="N206" s="1046" t="b">
        <f>IF(Mauerwerk!$B21&gt;0,Mauerwerk!U21)</f>
        <v>0</v>
      </c>
      <c r="O206" s="1038" t="b">
        <f>IF(Mauerwerk!$B21&gt;0,Mauerwerk!V21)</f>
        <v>0</v>
      </c>
      <c r="P206" s="783"/>
    </row>
    <row r="207" spans="5:16" ht="12.75" customHeight="1" x14ac:dyDescent="0.2">
      <c r="E207" s="1037" t="b">
        <f>IF(Mauerwerk!$B22&gt;0,Mauerwerk!B22)</f>
        <v>0</v>
      </c>
      <c r="F207" s="1037" t="b">
        <f>IF(Mauerwerk!$B22&gt;0,Mauerwerk!C22)</f>
        <v>0</v>
      </c>
      <c r="G207" s="1037" t="b">
        <f>IF(Mauerwerk!$B22&gt;0,Mauerwerk!D22)</f>
        <v>0</v>
      </c>
      <c r="H207" s="1038" t="b">
        <f>IF(Mauerwerk!$B22&gt;0,Mauerwerk!E22)</f>
        <v>0</v>
      </c>
      <c r="I207" s="1038" t="b">
        <f>IF(Mauerwerk!$B22&gt;0,Mauerwerk!F22)</f>
        <v>0</v>
      </c>
      <c r="J207" s="1038" t="b">
        <f>IF(Mauerwerk!$B22&gt;0,Mauerwerk!G22)</f>
        <v>0</v>
      </c>
      <c r="K207" s="1039"/>
      <c r="L207" s="1039"/>
      <c r="M207" s="1043" t="b">
        <f>IF(Mauerwerk!$B22&gt;0,Mauerwerk!I22)</f>
        <v>0</v>
      </c>
      <c r="N207" s="1046" t="b">
        <f>IF(Mauerwerk!$B22&gt;0,Mauerwerk!U22)</f>
        <v>0</v>
      </c>
      <c r="O207" s="1038" t="b">
        <f>IF(Mauerwerk!$B22&gt;0,Mauerwerk!V22)</f>
        <v>0</v>
      </c>
      <c r="P207" s="783"/>
    </row>
  </sheetData>
  <sheetProtection insertRows="0"/>
  <protectedRanges>
    <protectedRange sqref="E2:G2" name="Bereich1_1_1_1_1_1_1_1_3_1_1_3_2"/>
    <protectedRange sqref="H2" name="Bereich1_1_1_1_1_1_1_1_3_1_4_2"/>
    <protectedRange sqref="I2" name="Bereich1_1_1_1_1_1_1_1_3_1_5_2"/>
    <protectedRange sqref="J2" name="Bereich1_1_1_1_1_1_1_1_3_1_6_3"/>
    <protectedRange sqref="L2:M2" name="Bereich1_1_1_1_1_1_1_1_3_1_6"/>
    <protectedRange sqref="K2" name="Bereich1_1_1_1_1_1_1_1_3_1_6_1"/>
  </protectedRanges>
  <autoFilter ref="E2:O183" xr:uid="{A192A8EF-ACD9-4025-8956-9A9B141EAED4}">
    <sortState xmlns:xlrd2="http://schemas.microsoft.com/office/spreadsheetml/2017/richdata2" ref="E3:O179">
      <sortCondition ref="E2:E183"/>
    </sortState>
  </autoFilter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80AF4-DA9A-4199-AB78-9047216C0BD2}">
  <dimension ref="A1"/>
  <sheetViews>
    <sheetView workbookViewId="0">
      <selection sqref="A1:B30"/>
    </sheetView>
  </sheetViews>
  <sheetFormatPr baseColWidth="10" defaultRowHeight="12.75" x14ac:dyDescent="0.2"/>
  <cols>
    <col min="1" max="2" width="11.42578125" customWidth="1"/>
  </cols>
  <sheetData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07B82-D729-4FA0-9F7A-3C7AA62357B4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5CBA9-A386-458C-8078-EAB37E87FC2E}">
  <sheetPr>
    <pageSetUpPr fitToPage="1"/>
  </sheetPr>
  <dimension ref="A1:J34"/>
  <sheetViews>
    <sheetView workbookViewId="0">
      <selection activeCell="F31" sqref="F31"/>
    </sheetView>
  </sheetViews>
  <sheetFormatPr baseColWidth="10" defaultRowHeight="12.75" x14ac:dyDescent="0.2"/>
  <cols>
    <col min="1" max="1" width="2.28515625" customWidth="1"/>
    <col min="2" max="2" width="12.140625" customWidth="1"/>
    <col min="3" max="10" width="15.7109375" customWidth="1"/>
  </cols>
  <sheetData>
    <row r="1" spans="1:10" ht="15.75" x14ac:dyDescent="0.25">
      <c r="A1" s="93"/>
      <c r="B1" s="92" t="s">
        <v>157</v>
      </c>
      <c r="C1" s="106"/>
      <c r="D1" s="107"/>
      <c r="E1" s="108"/>
      <c r="F1" s="110"/>
      <c r="G1" s="110"/>
      <c r="H1" s="110"/>
      <c r="I1" s="110"/>
      <c r="J1" s="110"/>
    </row>
    <row r="2" spans="1:10" ht="15.75" x14ac:dyDescent="0.25">
      <c r="A2" s="93"/>
      <c r="B2" s="105" t="s">
        <v>2</v>
      </c>
      <c r="C2" s="106"/>
      <c r="D2" s="107"/>
      <c r="E2" s="108"/>
      <c r="F2" s="110"/>
      <c r="G2" s="110"/>
      <c r="H2" s="110"/>
      <c r="I2" s="110"/>
      <c r="J2" s="110"/>
    </row>
    <row r="3" spans="1:10" ht="15.75" x14ac:dyDescent="0.2">
      <c r="B3" s="16"/>
      <c r="C3" s="16"/>
      <c r="D3" s="8"/>
      <c r="E3" s="2"/>
      <c r="F3" s="1"/>
      <c r="G3" s="1"/>
      <c r="H3" s="1"/>
      <c r="I3" s="1"/>
      <c r="J3" s="1"/>
    </row>
    <row r="4" spans="1:10" ht="23.25" x14ac:dyDescent="0.35">
      <c r="A4" s="6"/>
      <c r="B4" s="316" t="s">
        <v>181</v>
      </c>
      <c r="C4" s="16"/>
      <c r="D4" s="8"/>
      <c r="E4" s="2"/>
      <c r="F4" s="1"/>
      <c r="G4" s="22"/>
      <c r="H4" s="22"/>
      <c r="I4" s="1"/>
      <c r="J4" s="1"/>
    </row>
    <row r="5" spans="1:10" ht="15.75" x14ac:dyDescent="0.2">
      <c r="A5" s="6"/>
      <c r="B5" s="53" t="s">
        <v>4</v>
      </c>
      <c r="C5" s="54" t="s">
        <v>16</v>
      </c>
      <c r="D5" s="57" t="s">
        <v>20</v>
      </c>
      <c r="E5" s="53" t="s">
        <v>17</v>
      </c>
      <c r="F5" s="9" t="s">
        <v>18</v>
      </c>
      <c r="G5" s="9" t="s">
        <v>21</v>
      </c>
      <c r="H5" s="9" t="s">
        <v>17</v>
      </c>
      <c r="I5" s="9" t="s">
        <v>19</v>
      </c>
      <c r="J5" s="9" t="s">
        <v>22</v>
      </c>
    </row>
    <row r="6" spans="1:10" ht="15.75" x14ac:dyDescent="0.2">
      <c r="A6" s="6"/>
      <c r="B6" s="21"/>
      <c r="C6" s="55"/>
      <c r="D6" s="14"/>
      <c r="E6" s="15"/>
      <c r="F6" s="24"/>
      <c r="G6" s="58"/>
      <c r="H6" s="58"/>
      <c r="I6" s="60"/>
      <c r="J6" s="60"/>
    </row>
    <row r="7" spans="1:10" ht="15.75" x14ac:dyDescent="0.2">
      <c r="A7" s="284"/>
      <c r="B7" s="48"/>
      <c r="C7" s="61"/>
      <c r="D7" s="52"/>
      <c r="E7" s="61">
        <v>1</v>
      </c>
      <c r="F7" s="62">
        <f>E7*D7*C7</f>
        <v>0</v>
      </c>
      <c r="G7" s="61"/>
      <c r="H7" s="61">
        <v>1</v>
      </c>
      <c r="I7" s="63">
        <f>G7*F7*H7</f>
        <v>0</v>
      </c>
      <c r="J7" s="64"/>
    </row>
    <row r="8" spans="1:10" ht="15.75" x14ac:dyDescent="0.2">
      <c r="A8" s="282"/>
      <c r="B8" s="48"/>
      <c r="C8" s="65"/>
      <c r="D8" s="52"/>
      <c r="E8" s="61">
        <v>1</v>
      </c>
      <c r="F8" s="62">
        <f t="shared" ref="F8:F13" si="0">E8*D8*C8</f>
        <v>0</v>
      </c>
      <c r="G8" s="61"/>
      <c r="H8" s="61">
        <v>1</v>
      </c>
      <c r="I8" s="63">
        <f t="shared" ref="I8:I27" si="1">G8*F8*H8</f>
        <v>0</v>
      </c>
      <c r="J8" s="64"/>
    </row>
    <row r="9" spans="1:10" ht="15.75" x14ac:dyDescent="0.2">
      <c r="A9" s="282"/>
      <c r="B9" s="48"/>
      <c r="C9" s="61"/>
      <c r="D9" s="66"/>
      <c r="E9" s="61">
        <v>1</v>
      </c>
      <c r="F9" s="62">
        <f t="shared" si="0"/>
        <v>0</v>
      </c>
      <c r="G9" s="61"/>
      <c r="H9" s="61">
        <v>1</v>
      </c>
      <c r="I9" s="63">
        <f t="shared" si="1"/>
        <v>0</v>
      </c>
      <c r="J9" s="64"/>
    </row>
    <row r="10" spans="1:10" ht="15.75" x14ac:dyDescent="0.2">
      <c r="A10" s="283"/>
      <c r="B10" s="48"/>
      <c r="C10" s="61"/>
      <c r="D10" s="66"/>
      <c r="E10" s="61">
        <v>1</v>
      </c>
      <c r="F10" s="62">
        <f t="shared" si="0"/>
        <v>0</v>
      </c>
      <c r="G10" s="61"/>
      <c r="H10" s="61">
        <v>1</v>
      </c>
      <c r="I10" s="63">
        <f t="shared" si="1"/>
        <v>0</v>
      </c>
      <c r="J10" s="64"/>
    </row>
    <row r="11" spans="1:10" ht="15.75" x14ac:dyDescent="0.2">
      <c r="A11" s="285"/>
      <c r="B11" s="48"/>
      <c r="C11" s="61"/>
      <c r="D11" s="66"/>
      <c r="E11" s="61">
        <v>1</v>
      </c>
      <c r="F11" s="62">
        <f t="shared" si="0"/>
        <v>0</v>
      </c>
      <c r="G11" s="61"/>
      <c r="H11" s="61">
        <v>1</v>
      </c>
      <c r="I11" s="63">
        <f t="shared" si="1"/>
        <v>0</v>
      </c>
      <c r="J11" s="64"/>
    </row>
    <row r="12" spans="1:10" ht="15.75" x14ac:dyDescent="0.2">
      <c r="A12" s="286"/>
      <c r="B12" s="48"/>
      <c r="C12" s="61"/>
      <c r="D12" s="66"/>
      <c r="E12" s="61">
        <v>1</v>
      </c>
      <c r="F12" s="62">
        <f t="shared" si="0"/>
        <v>0</v>
      </c>
      <c r="G12" s="61"/>
      <c r="H12" s="61">
        <v>1</v>
      </c>
      <c r="I12" s="63">
        <f t="shared" si="1"/>
        <v>0</v>
      </c>
      <c r="J12" s="64"/>
    </row>
    <row r="13" spans="1:10" ht="15.75" x14ac:dyDescent="0.2">
      <c r="A13" s="287"/>
      <c r="B13" s="48"/>
      <c r="C13" s="61"/>
      <c r="D13" s="66"/>
      <c r="E13" s="61">
        <v>1</v>
      </c>
      <c r="F13" s="62">
        <f t="shared" si="0"/>
        <v>0</v>
      </c>
      <c r="G13" s="61"/>
      <c r="H13" s="61">
        <v>1</v>
      </c>
      <c r="I13" s="63">
        <f t="shared" si="1"/>
        <v>0</v>
      </c>
      <c r="J13" s="64"/>
    </row>
    <row r="14" spans="1:10" ht="15.75" x14ac:dyDescent="0.2">
      <c r="A14" s="282"/>
      <c r="B14" s="48"/>
      <c r="C14" s="61"/>
      <c r="D14" s="66"/>
      <c r="E14" s="61">
        <v>1</v>
      </c>
      <c r="F14" s="62">
        <f t="shared" ref="F14:F27" si="2">E14*D14*C14</f>
        <v>0</v>
      </c>
      <c r="G14" s="61"/>
      <c r="H14" s="61">
        <v>1</v>
      </c>
      <c r="I14" s="63">
        <f t="shared" si="1"/>
        <v>0</v>
      </c>
      <c r="J14" s="64"/>
    </row>
    <row r="15" spans="1:10" ht="15.75" x14ac:dyDescent="0.2">
      <c r="A15" s="286"/>
      <c r="B15" s="48"/>
      <c r="C15" s="61"/>
      <c r="D15" s="66"/>
      <c r="E15" s="61">
        <v>1</v>
      </c>
      <c r="F15" s="62">
        <f t="shared" si="2"/>
        <v>0</v>
      </c>
      <c r="G15" s="61"/>
      <c r="H15" s="61">
        <v>1</v>
      </c>
      <c r="I15" s="63">
        <f t="shared" si="1"/>
        <v>0</v>
      </c>
      <c r="J15" s="64"/>
    </row>
    <row r="16" spans="1:10" ht="15.75" x14ac:dyDescent="0.2">
      <c r="A16" s="286"/>
      <c r="B16" s="48"/>
      <c r="C16" s="61"/>
      <c r="D16" s="66"/>
      <c r="E16" s="61">
        <v>1</v>
      </c>
      <c r="F16" s="62">
        <f t="shared" si="2"/>
        <v>0</v>
      </c>
      <c r="G16" s="61"/>
      <c r="H16" s="61">
        <v>1</v>
      </c>
      <c r="I16" s="63">
        <f t="shared" si="1"/>
        <v>0</v>
      </c>
      <c r="J16" s="64"/>
    </row>
    <row r="17" spans="1:10" ht="15.75" x14ac:dyDescent="0.2">
      <c r="A17" s="6"/>
      <c r="B17" s="48"/>
      <c r="C17" s="65"/>
      <c r="D17" s="66"/>
      <c r="E17" s="61">
        <v>1</v>
      </c>
      <c r="F17" s="62">
        <f t="shared" si="2"/>
        <v>0</v>
      </c>
      <c r="G17" s="61"/>
      <c r="H17" s="61">
        <v>1</v>
      </c>
      <c r="I17" s="63">
        <f t="shared" si="1"/>
        <v>0</v>
      </c>
      <c r="J17" s="64"/>
    </row>
    <row r="18" spans="1:10" ht="15.75" x14ac:dyDescent="0.2">
      <c r="A18" s="6"/>
      <c r="B18" s="48"/>
      <c r="C18" s="65"/>
      <c r="D18" s="66"/>
      <c r="E18" s="61">
        <v>1</v>
      </c>
      <c r="F18" s="62">
        <f t="shared" si="2"/>
        <v>0</v>
      </c>
      <c r="G18" s="61"/>
      <c r="H18" s="61">
        <v>1</v>
      </c>
      <c r="I18" s="63">
        <f t="shared" si="1"/>
        <v>0</v>
      </c>
      <c r="J18" s="64"/>
    </row>
    <row r="19" spans="1:10" ht="15.75" x14ac:dyDescent="0.2">
      <c r="A19" s="6"/>
      <c r="B19" s="48"/>
      <c r="C19" s="65"/>
      <c r="D19" s="66"/>
      <c r="E19" s="61">
        <v>1</v>
      </c>
      <c r="F19" s="62">
        <f t="shared" si="2"/>
        <v>0</v>
      </c>
      <c r="G19" s="61"/>
      <c r="H19" s="61">
        <v>1</v>
      </c>
      <c r="I19" s="63">
        <f t="shared" si="1"/>
        <v>0</v>
      </c>
      <c r="J19" s="64"/>
    </row>
    <row r="20" spans="1:10" ht="15.75" x14ac:dyDescent="0.2">
      <c r="A20" s="6"/>
      <c r="B20" s="48"/>
      <c r="C20" s="65"/>
      <c r="D20" s="66"/>
      <c r="E20" s="61">
        <v>1</v>
      </c>
      <c r="F20" s="62">
        <f t="shared" si="2"/>
        <v>0</v>
      </c>
      <c r="G20" s="61"/>
      <c r="H20" s="61">
        <v>1</v>
      </c>
      <c r="I20" s="63">
        <f t="shared" si="1"/>
        <v>0</v>
      </c>
      <c r="J20" s="64"/>
    </row>
    <row r="21" spans="1:10" ht="15.75" x14ac:dyDescent="0.2">
      <c r="A21" s="6"/>
      <c r="B21" s="48"/>
      <c r="C21" s="65"/>
      <c r="D21" s="66"/>
      <c r="E21" s="61">
        <v>1</v>
      </c>
      <c r="F21" s="62">
        <f t="shared" si="2"/>
        <v>0</v>
      </c>
      <c r="G21" s="61"/>
      <c r="H21" s="61">
        <v>1</v>
      </c>
      <c r="I21" s="63">
        <f t="shared" si="1"/>
        <v>0</v>
      </c>
      <c r="J21" s="64"/>
    </row>
    <row r="22" spans="1:10" ht="15.75" x14ac:dyDescent="0.2">
      <c r="A22" s="6"/>
      <c r="B22" s="48"/>
      <c r="C22" s="65"/>
      <c r="D22" s="66"/>
      <c r="E22" s="61">
        <v>1</v>
      </c>
      <c r="F22" s="62">
        <f t="shared" si="2"/>
        <v>0</v>
      </c>
      <c r="G22" s="61"/>
      <c r="H22" s="61">
        <v>1</v>
      </c>
      <c r="I22" s="63">
        <f t="shared" si="1"/>
        <v>0</v>
      </c>
      <c r="J22" s="64"/>
    </row>
    <row r="23" spans="1:10" ht="15.75" x14ac:dyDescent="0.2">
      <c r="A23" s="6"/>
      <c r="B23" s="48"/>
      <c r="C23" s="65"/>
      <c r="D23" s="66"/>
      <c r="E23" s="61">
        <v>1</v>
      </c>
      <c r="F23" s="62">
        <f t="shared" si="2"/>
        <v>0</v>
      </c>
      <c r="G23" s="61"/>
      <c r="H23" s="61">
        <v>1</v>
      </c>
      <c r="I23" s="63">
        <f t="shared" si="1"/>
        <v>0</v>
      </c>
      <c r="J23" s="64"/>
    </row>
    <row r="24" spans="1:10" ht="15.75" x14ac:dyDescent="0.2">
      <c r="A24" s="6"/>
      <c r="B24" s="48"/>
      <c r="C24" s="65"/>
      <c r="D24" s="66"/>
      <c r="E24" s="61">
        <v>1</v>
      </c>
      <c r="F24" s="62">
        <f t="shared" si="2"/>
        <v>0</v>
      </c>
      <c r="G24" s="61"/>
      <c r="H24" s="61">
        <v>1</v>
      </c>
      <c r="I24" s="63">
        <f t="shared" si="1"/>
        <v>0</v>
      </c>
      <c r="J24" s="64"/>
    </row>
    <row r="25" spans="1:10" ht="15.75" x14ac:dyDescent="0.2">
      <c r="A25" s="6"/>
      <c r="B25" s="48"/>
      <c r="C25" s="65"/>
      <c r="D25" s="52"/>
      <c r="E25" s="61">
        <v>1</v>
      </c>
      <c r="F25" s="62">
        <f t="shared" si="2"/>
        <v>0</v>
      </c>
      <c r="G25" s="61"/>
      <c r="H25" s="61">
        <v>1</v>
      </c>
      <c r="I25" s="63">
        <f t="shared" si="1"/>
        <v>0</v>
      </c>
      <c r="J25" s="64"/>
    </row>
    <row r="26" spans="1:10" ht="15.75" x14ac:dyDescent="0.2">
      <c r="A26" s="6"/>
      <c r="B26" s="48"/>
      <c r="C26" s="65"/>
      <c r="D26" s="67"/>
      <c r="E26" s="61">
        <v>1</v>
      </c>
      <c r="F26" s="62">
        <f t="shared" si="2"/>
        <v>0</v>
      </c>
      <c r="G26" s="61"/>
      <c r="H26" s="61">
        <v>1</v>
      </c>
      <c r="I26" s="63">
        <f t="shared" si="1"/>
        <v>0</v>
      </c>
      <c r="J26" s="64"/>
    </row>
    <row r="27" spans="1:10" ht="15.75" x14ac:dyDescent="0.2">
      <c r="A27" s="19"/>
      <c r="B27" s="48"/>
      <c r="C27" s="65"/>
      <c r="D27" s="65"/>
      <c r="E27" s="61">
        <v>1</v>
      </c>
      <c r="F27" s="62">
        <f t="shared" si="2"/>
        <v>0</v>
      </c>
      <c r="G27" s="61"/>
      <c r="H27" s="61">
        <v>1</v>
      </c>
      <c r="I27" s="63">
        <f t="shared" si="1"/>
        <v>0</v>
      </c>
      <c r="J27" s="64"/>
    </row>
    <row r="28" spans="1:10" ht="15.75" x14ac:dyDescent="0.2">
      <c r="A28" s="19"/>
      <c r="B28" s="23"/>
      <c r="C28" s="56"/>
      <c r="D28" s="25"/>
      <c r="E28" s="26"/>
      <c r="F28" s="27"/>
      <c r="G28" s="59"/>
      <c r="H28" s="59"/>
      <c r="I28" s="59"/>
      <c r="J28" s="59"/>
    </row>
    <row r="29" spans="1:10" ht="15.75" x14ac:dyDescent="0.2">
      <c r="A29" s="19"/>
      <c r="B29" s="16"/>
      <c r="C29" s="16"/>
      <c r="D29" s="8"/>
      <c r="E29" s="2"/>
      <c r="F29" s="1"/>
      <c r="G29" s="1"/>
      <c r="H29" s="1"/>
      <c r="I29" s="1"/>
      <c r="J29" s="1"/>
    </row>
    <row r="30" spans="1:10" ht="15.75" x14ac:dyDescent="0.2">
      <c r="A30" s="19"/>
      <c r="B30" s="43"/>
      <c r="C30" s="49"/>
      <c r="D30" s="44"/>
      <c r="E30" s="45"/>
      <c r="F30" s="46"/>
      <c r="G30" s="46"/>
      <c r="H30" s="46"/>
      <c r="I30" s="46"/>
      <c r="J30" s="46"/>
    </row>
    <row r="31" spans="1:10" ht="15.75" x14ac:dyDescent="0.2">
      <c r="A31" s="6"/>
      <c r="B31" s="50"/>
      <c r="C31" s="49"/>
      <c r="D31" s="44"/>
      <c r="E31" s="45"/>
      <c r="F31" s="46"/>
      <c r="G31" s="46"/>
      <c r="H31" s="46"/>
      <c r="I31" s="46"/>
      <c r="J31" s="46"/>
    </row>
    <row r="32" spans="1:10" ht="15.75" x14ac:dyDescent="0.2">
      <c r="A32" s="6"/>
      <c r="B32" s="43"/>
      <c r="C32" s="68"/>
      <c r="D32" s="44"/>
      <c r="E32" s="45"/>
      <c r="F32" s="46"/>
      <c r="G32" s="46"/>
      <c r="H32" s="46"/>
      <c r="I32" s="46"/>
      <c r="J32" s="46"/>
    </row>
    <row r="33" spans="1:10" ht="15.75" x14ac:dyDescent="0.2">
      <c r="A33" s="6"/>
      <c r="B33" s="16"/>
      <c r="C33" s="16"/>
      <c r="D33" s="8"/>
      <c r="E33" s="2"/>
      <c r="F33" s="1"/>
      <c r="G33" s="1"/>
      <c r="H33" s="1"/>
      <c r="I33" s="1"/>
      <c r="J33" s="1"/>
    </row>
    <row r="34" spans="1:10" ht="15.75" x14ac:dyDescent="0.2">
      <c r="A34" s="6"/>
      <c r="B34" s="16"/>
      <c r="C34" s="16"/>
      <c r="D34" s="8"/>
      <c r="E34" s="2"/>
      <c r="F34" s="1"/>
      <c r="G34" s="1"/>
      <c r="H34" s="1"/>
      <c r="I34" s="1"/>
      <c r="J34" s="1"/>
    </row>
  </sheetData>
  <protectedRanges>
    <protectedRange sqref="B2 A3:B3 B5:H5 A1:A2 C1:J3" name="Bereich1_1_1_1_1_1_1_1"/>
    <protectedRange sqref="B1" name="Bereich1_1_1_1_1_1_1_1_1"/>
    <protectedRange sqref="I5:J5" name="Bereich1_1_1_1_1_1_1_1_3_1"/>
  </protectedRanges>
  <pageMargins left="0.25" right="0.25" top="0.75" bottom="0.75" header="0.3" footer="0.3"/>
  <pageSetup paperSize="9" scale="7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F8B0D-135F-48FC-AC89-D24B7B04C832}">
  <dimension ref="A1:V24"/>
  <sheetViews>
    <sheetView workbookViewId="0">
      <selection activeCell="K8" sqref="K8"/>
    </sheetView>
  </sheetViews>
  <sheetFormatPr baseColWidth="10" defaultRowHeight="12.75" x14ac:dyDescent="0.2"/>
  <cols>
    <col min="1" max="1" width="56.42578125" customWidth="1"/>
    <col min="2" max="3" width="7.5703125" customWidth="1"/>
    <col min="4" max="4" width="9.42578125" customWidth="1"/>
    <col min="5" max="5" width="15.85546875" customWidth="1"/>
    <col min="6" max="6" width="8.42578125" customWidth="1"/>
    <col min="7" max="7" width="8.7109375" customWidth="1"/>
    <col min="8" max="8" width="9" customWidth="1"/>
    <col min="9" max="9" width="10.42578125" customWidth="1"/>
    <col min="10" max="10" width="14.140625" customWidth="1"/>
    <col min="11" max="11" width="16.7109375" customWidth="1"/>
    <col min="12" max="12" width="8.5703125" customWidth="1"/>
    <col min="13" max="13" width="13.5703125" customWidth="1"/>
  </cols>
  <sheetData>
    <row r="1" spans="1:22" s="3" customFormat="1" ht="15.75" x14ac:dyDescent="0.25">
      <c r="A1" s="92" t="s">
        <v>157</v>
      </c>
      <c r="B1" s="93"/>
      <c r="C1" s="93"/>
      <c r="D1" s="93"/>
      <c r="E1" s="94"/>
      <c r="F1" s="95"/>
      <c r="G1" s="96"/>
      <c r="H1" s="97"/>
      <c r="I1" s="98"/>
      <c r="J1" s="98"/>
      <c r="K1" s="98"/>
      <c r="L1" s="99"/>
      <c r="M1" s="100"/>
      <c r="N1" s="99"/>
      <c r="O1" s="99"/>
      <c r="P1" s="99"/>
      <c r="Q1" s="99"/>
      <c r="R1" s="101"/>
      <c r="S1" s="101"/>
      <c r="T1" s="102"/>
      <c r="U1" s="103"/>
      <c r="V1" s="104"/>
    </row>
    <row r="2" spans="1:22" s="3" customFormat="1" ht="15.75" x14ac:dyDescent="0.25">
      <c r="A2" s="105" t="s">
        <v>40</v>
      </c>
      <c r="B2" s="93"/>
      <c r="C2" s="93"/>
      <c r="D2" s="93"/>
      <c r="E2" s="94"/>
      <c r="F2" s="95"/>
      <c r="G2" s="96"/>
      <c r="H2" s="97"/>
      <c r="I2" s="98"/>
      <c r="J2" s="98"/>
      <c r="K2" s="98"/>
      <c r="L2" s="99"/>
      <c r="M2" s="100"/>
      <c r="N2" s="99"/>
      <c r="O2" s="99"/>
      <c r="P2" s="99"/>
      <c r="Q2" s="99"/>
      <c r="R2" s="101"/>
      <c r="S2" s="101"/>
      <c r="T2" s="102"/>
      <c r="U2" s="103"/>
      <c r="V2" s="104"/>
    </row>
    <row r="3" spans="1:22" ht="15" customHeight="1" x14ac:dyDescent="0.2"/>
    <row r="4" spans="1:22" ht="21" customHeight="1" x14ac:dyDescent="0.35">
      <c r="A4" s="316" t="s">
        <v>182</v>
      </c>
    </row>
    <row r="5" spans="1:22" s="315" customFormat="1" x14ac:dyDescent="0.2">
      <c r="A5" s="332" t="s">
        <v>0</v>
      </c>
      <c r="B5" s="332" t="s">
        <v>139</v>
      </c>
      <c r="C5" s="332"/>
      <c r="D5" s="332" t="s">
        <v>140</v>
      </c>
      <c r="E5" s="332" t="s">
        <v>141</v>
      </c>
      <c r="F5" s="332" t="s">
        <v>147</v>
      </c>
      <c r="G5" s="332" t="s">
        <v>146</v>
      </c>
      <c r="H5" s="332" t="s">
        <v>154</v>
      </c>
      <c r="I5" s="332" t="s">
        <v>145</v>
      </c>
      <c r="J5" s="332" t="s">
        <v>142</v>
      </c>
      <c r="K5" s="332" t="s">
        <v>143</v>
      </c>
      <c r="L5" s="332" t="s">
        <v>148</v>
      </c>
      <c r="M5" s="332" t="s">
        <v>144</v>
      </c>
    </row>
    <row r="6" spans="1:22" ht="8.25" customHeight="1" x14ac:dyDescent="0.2">
      <c r="L6" s="312"/>
    </row>
    <row r="8" spans="1:22" ht="15.75" customHeight="1" x14ac:dyDescent="0.25">
      <c r="A8" s="1050" t="s">
        <v>413</v>
      </c>
      <c r="B8" s="334" t="s">
        <v>411</v>
      </c>
      <c r="C8" s="334" t="s">
        <v>206</v>
      </c>
      <c r="D8" s="335">
        <v>0.625</v>
      </c>
      <c r="E8" s="312">
        <v>12</v>
      </c>
      <c r="F8" s="336">
        <v>1.25</v>
      </c>
      <c r="G8" s="336">
        <v>0.625</v>
      </c>
      <c r="H8" s="336">
        <f>F8*G8</f>
        <v>0.78125</v>
      </c>
      <c r="I8" s="337">
        <f>1/(F8*G8)</f>
        <v>1.28</v>
      </c>
      <c r="J8" s="338">
        <f>E8*I8</f>
        <v>15.36</v>
      </c>
      <c r="K8" s="336">
        <v>1.1499999999999999</v>
      </c>
      <c r="L8" s="312">
        <v>100</v>
      </c>
      <c r="M8" s="336">
        <f>L8/(J8*K8)</f>
        <v>5.6612318840579716</v>
      </c>
      <c r="O8" s="313"/>
    </row>
    <row r="9" spans="1:22" ht="15.75" customHeight="1" x14ac:dyDescent="0.25">
      <c r="A9" s="1050" t="s">
        <v>414</v>
      </c>
      <c r="B9" s="334" t="s">
        <v>411</v>
      </c>
      <c r="C9" s="334" t="s">
        <v>205</v>
      </c>
      <c r="D9" s="340">
        <v>0.3125</v>
      </c>
      <c r="E9" s="312">
        <v>20</v>
      </c>
      <c r="F9" s="336">
        <v>1.25</v>
      </c>
      <c r="G9" s="336">
        <v>0.625</v>
      </c>
      <c r="H9" s="336">
        <f>F9*G9</f>
        <v>0.78125</v>
      </c>
      <c r="I9" s="337">
        <f>1/(F9*G9)</f>
        <v>1.28</v>
      </c>
      <c r="J9" s="338">
        <f>E9*I9</f>
        <v>25.6</v>
      </c>
      <c r="K9" s="336">
        <v>1.1499999999999999</v>
      </c>
      <c r="L9" s="312">
        <v>100</v>
      </c>
      <c r="M9" s="336">
        <f>L9/(J9*K9)</f>
        <v>3.3967391304347827</v>
      </c>
      <c r="O9" s="313"/>
    </row>
    <row r="10" spans="1:22" ht="15.75" customHeight="1" x14ac:dyDescent="0.25">
      <c r="A10" s="333" t="s">
        <v>207</v>
      </c>
      <c r="B10" s="334" t="s">
        <v>69</v>
      </c>
      <c r="C10" s="334" t="s">
        <v>206</v>
      </c>
      <c r="D10" s="335">
        <v>0.625</v>
      </c>
      <c r="E10" s="312">
        <v>12</v>
      </c>
      <c r="F10" s="336">
        <v>1.25</v>
      </c>
      <c r="G10" s="336">
        <v>0.625</v>
      </c>
      <c r="H10" s="336">
        <f>F10*G10</f>
        <v>0.78125</v>
      </c>
      <c r="I10" s="337">
        <f>1/(F10*G10)</f>
        <v>1.28</v>
      </c>
      <c r="J10" s="338">
        <f>E10*I10</f>
        <v>15.36</v>
      </c>
      <c r="K10" s="336">
        <v>1.1499999999999999</v>
      </c>
      <c r="L10" s="312">
        <v>100</v>
      </c>
      <c r="M10" s="336">
        <f>L10/(J10*K10)</f>
        <v>5.6612318840579716</v>
      </c>
      <c r="O10" s="313"/>
    </row>
    <row r="11" spans="1:22" ht="15.75" customHeight="1" x14ac:dyDescent="0.25">
      <c r="A11" s="339" t="s">
        <v>208</v>
      </c>
      <c r="B11" s="334" t="s">
        <v>131</v>
      </c>
      <c r="C11" s="334" t="s">
        <v>205</v>
      </c>
      <c r="D11" s="340">
        <v>0.3125</v>
      </c>
      <c r="E11" s="312">
        <v>20</v>
      </c>
      <c r="F11" s="336">
        <v>1.25</v>
      </c>
      <c r="G11" s="336">
        <v>0.625</v>
      </c>
      <c r="H11" s="336">
        <f t="shared" ref="H11:H21" si="0">F11*G11</f>
        <v>0.78125</v>
      </c>
      <c r="I11" s="337">
        <f>1/(F11*G11)</f>
        <v>1.28</v>
      </c>
      <c r="J11" s="338">
        <f>E11*I11</f>
        <v>25.6</v>
      </c>
      <c r="K11" s="336">
        <v>1.1499999999999999</v>
      </c>
      <c r="L11" s="312">
        <v>100</v>
      </c>
      <c r="M11" s="336">
        <f>L11/(J11*K11)</f>
        <v>3.3967391304347827</v>
      </c>
      <c r="O11" s="313"/>
    </row>
    <row r="12" spans="1:22" ht="15.75" customHeight="1" x14ac:dyDescent="0.25">
      <c r="A12" s="339"/>
      <c r="B12" s="334"/>
      <c r="C12" s="334"/>
      <c r="D12" s="340"/>
      <c r="E12" s="312"/>
      <c r="F12" s="336"/>
      <c r="G12" s="336"/>
      <c r="H12" s="336"/>
      <c r="I12" s="337"/>
      <c r="J12" s="338"/>
      <c r="K12" s="336"/>
      <c r="L12" s="312"/>
      <c r="M12" s="336"/>
      <c r="O12" s="313"/>
    </row>
    <row r="13" spans="1:22" ht="15.75" customHeight="1" x14ac:dyDescent="0.25">
      <c r="A13" s="341" t="s">
        <v>209</v>
      </c>
      <c r="B13" s="342" t="s">
        <v>88</v>
      </c>
      <c r="C13" s="342"/>
      <c r="D13" s="335">
        <v>0.5</v>
      </c>
      <c r="E13" s="312">
        <v>16</v>
      </c>
      <c r="F13" s="336">
        <v>1.3334999999999999</v>
      </c>
      <c r="G13" s="336">
        <v>0.58499999999999996</v>
      </c>
      <c r="H13" s="336">
        <f>F13*G13</f>
        <v>0.78009749999999989</v>
      </c>
      <c r="I13" s="337">
        <f t="shared" ref="I13:I16" si="1">1/(F13*G13)</f>
        <v>1.2818910456705734</v>
      </c>
      <c r="J13" s="338">
        <f t="shared" ref="J13:J16" si="2">E13*I13</f>
        <v>20.510256730729175</v>
      </c>
      <c r="K13" s="336">
        <v>1.075</v>
      </c>
      <c r="L13" s="312">
        <v>100</v>
      </c>
      <c r="M13" s="336">
        <f t="shared" ref="M13:M16" si="3">L13/(J13*K13)</f>
        <v>4.5354505813953487</v>
      </c>
      <c r="O13" s="313"/>
    </row>
    <row r="14" spans="1:22" ht="15.75" customHeight="1" x14ac:dyDescent="0.2">
      <c r="A14" s="341" t="s">
        <v>210</v>
      </c>
      <c r="B14" s="342" t="s">
        <v>88</v>
      </c>
      <c r="D14" s="335">
        <v>0.35</v>
      </c>
      <c r="E14" s="312">
        <v>20</v>
      </c>
      <c r="F14" s="336">
        <v>1.3334999999999999</v>
      </c>
      <c r="G14" s="336">
        <v>0.58499999999999996</v>
      </c>
      <c r="H14" s="336">
        <f>F14*G14</f>
        <v>0.78009749999999989</v>
      </c>
      <c r="I14" s="337">
        <f t="shared" si="1"/>
        <v>1.2818910456705734</v>
      </c>
      <c r="J14" s="338">
        <f t="shared" si="2"/>
        <v>25.637820913411467</v>
      </c>
      <c r="K14" s="336">
        <v>1.075</v>
      </c>
      <c r="L14" s="312">
        <v>100</v>
      </c>
      <c r="M14" s="336">
        <f t="shared" si="3"/>
        <v>3.6283604651162791</v>
      </c>
    </row>
    <row r="15" spans="1:22" ht="15.75" customHeight="1" x14ac:dyDescent="0.25">
      <c r="A15" s="341" t="s">
        <v>149</v>
      </c>
      <c r="B15" s="342" t="s">
        <v>89</v>
      </c>
      <c r="C15" s="342"/>
      <c r="D15" s="335">
        <v>0.625</v>
      </c>
      <c r="E15" s="312">
        <v>28</v>
      </c>
      <c r="F15" s="336">
        <v>1.875</v>
      </c>
      <c r="G15" s="336">
        <v>1.25</v>
      </c>
      <c r="H15" s="336">
        <f t="shared" si="0"/>
        <v>2.34375</v>
      </c>
      <c r="I15" s="337">
        <f t="shared" si="1"/>
        <v>0.42666666666666669</v>
      </c>
      <c r="J15" s="338">
        <f t="shared" si="2"/>
        <v>11.946666666666667</v>
      </c>
      <c r="K15" s="336">
        <v>1.1499999999999999</v>
      </c>
      <c r="L15" s="312">
        <v>100</v>
      </c>
      <c r="M15" s="336">
        <f t="shared" si="3"/>
        <v>7.2787267080745339</v>
      </c>
      <c r="O15" s="313"/>
    </row>
    <row r="16" spans="1:22" ht="15.75" customHeight="1" x14ac:dyDescent="0.25">
      <c r="A16" s="341" t="s">
        <v>149</v>
      </c>
      <c r="B16" s="342" t="s">
        <v>89</v>
      </c>
      <c r="C16" s="342"/>
      <c r="D16" s="335">
        <v>0.46899999999999997</v>
      </c>
      <c r="E16" s="312">
        <v>35</v>
      </c>
      <c r="F16" s="336">
        <v>1.875</v>
      </c>
      <c r="G16" s="336">
        <v>1.25</v>
      </c>
      <c r="H16" s="336">
        <f>F16*G16</f>
        <v>2.34375</v>
      </c>
      <c r="I16" s="337">
        <f t="shared" si="1"/>
        <v>0.42666666666666669</v>
      </c>
      <c r="J16" s="338">
        <f t="shared" si="2"/>
        <v>14.933333333333334</v>
      </c>
      <c r="K16" s="336">
        <v>1.1499999999999999</v>
      </c>
      <c r="L16" s="312">
        <v>100</v>
      </c>
      <c r="M16" s="336">
        <f t="shared" si="3"/>
        <v>5.8229813664596275</v>
      </c>
      <c r="O16" s="313"/>
    </row>
    <row r="17" spans="1:15" ht="15.75" customHeight="1" x14ac:dyDescent="0.25">
      <c r="A17" s="341"/>
      <c r="B17" s="342"/>
      <c r="C17" s="342"/>
      <c r="D17" s="335"/>
      <c r="E17" s="312"/>
      <c r="F17" s="336"/>
      <c r="G17" s="336"/>
      <c r="H17" s="336"/>
      <c r="I17" s="337"/>
      <c r="J17" s="338"/>
      <c r="K17" s="336"/>
      <c r="L17" s="312"/>
      <c r="M17" s="336"/>
      <c r="O17" s="313"/>
    </row>
    <row r="18" spans="1:15" ht="15.75" customHeight="1" x14ac:dyDescent="0.25">
      <c r="A18" s="343" t="s">
        <v>150</v>
      </c>
      <c r="B18" s="344" t="s">
        <v>99</v>
      </c>
      <c r="C18" s="344"/>
      <c r="D18" s="335"/>
      <c r="E18" s="312">
        <v>2</v>
      </c>
      <c r="F18" s="336">
        <v>1.2</v>
      </c>
      <c r="G18" s="336">
        <v>0.38</v>
      </c>
      <c r="H18" s="336">
        <f t="shared" si="0"/>
        <v>0.45599999999999996</v>
      </c>
      <c r="I18" s="337">
        <f>1/(F18*G18)</f>
        <v>2.192982456140351</v>
      </c>
      <c r="J18" s="338">
        <f>E18*I18</f>
        <v>4.3859649122807021</v>
      </c>
      <c r="K18" s="336">
        <v>1.1499999999999999</v>
      </c>
      <c r="L18" s="312">
        <v>100</v>
      </c>
      <c r="M18" s="336">
        <f>L18/(J18*K18)</f>
        <v>19.826086956521738</v>
      </c>
      <c r="O18" s="313"/>
    </row>
    <row r="19" spans="1:15" ht="15.75" customHeight="1" x14ac:dyDescent="0.25">
      <c r="A19" s="343" t="s">
        <v>152</v>
      </c>
      <c r="B19" s="344" t="s">
        <v>99</v>
      </c>
      <c r="C19" s="344"/>
      <c r="D19" s="335"/>
      <c r="E19" s="312">
        <v>2</v>
      </c>
      <c r="F19" s="336">
        <v>1.2</v>
      </c>
      <c r="G19" s="336">
        <v>0.38</v>
      </c>
      <c r="H19" s="336">
        <f t="shared" si="0"/>
        <v>0.45599999999999996</v>
      </c>
      <c r="I19" s="337">
        <f>1/(F19*G19)</f>
        <v>2.192982456140351</v>
      </c>
      <c r="J19" s="338">
        <f>E19*I19</f>
        <v>4.3859649122807021</v>
      </c>
      <c r="K19" s="336">
        <v>1.1499999999999999</v>
      </c>
      <c r="L19" s="312">
        <v>200</v>
      </c>
      <c r="M19" s="336">
        <f>L19/(J19*K19)</f>
        <v>39.652173913043477</v>
      </c>
      <c r="O19" s="313"/>
    </row>
    <row r="20" spans="1:15" ht="15.75" customHeight="1" x14ac:dyDescent="0.25">
      <c r="A20" s="345" t="s">
        <v>151</v>
      </c>
      <c r="B20" s="346" t="s">
        <v>137</v>
      </c>
      <c r="C20" s="346"/>
      <c r="D20" s="335"/>
      <c r="E20" s="312">
        <v>2</v>
      </c>
      <c r="F20" s="336">
        <v>1</v>
      </c>
      <c r="G20" s="336">
        <v>0.5</v>
      </c>
      <c r="H20" s="336">
        <f t="shared" si="0"/>
        <v>0.5</v>
      </c>
      <c r="I20" s="337">
        <f>1/(F20*G20)</f>
        <v>2</v>
      </c>
      <c r="J20" s="338">
        <f>E20*I20</f>
        <v>4</v>
      </c>
      <c r="K20" s="336">
        <v>1.1499999999999999</v>
      </c>
      <c r="L20" s="312">
        <v>100</v>
      </c>
      <c r="M20" s="336">
        <f>L20/(J20*K20)</f>
        <v>21.739130434782609</v>
      </c>
      <c r="O20" s="313"/>
    </row>
    <row r="21" spans="1:15" ht="15.75" customHeight="1" x14ac:dyDescent="0.25">
      <c r="A21" s="345" t="s">
        <v>153</v>
      </c>
      <c r="B21" s="346" t="s">
        <v>137</v>
      </c>
      <c r="C21" s="346"/>
      <c r="E21" s="312">
        <v>2</v>
      </c>
      <c r="F21" s="336">
        <v>1</v>
      </c>
      <c r="G21" s="336">
        <v>0.5</v>
      </c>
      <c r="H21" s="336">
        <f t="shared" si="0"/>
        <v>0.5</v>
      </c>
      <c r="I21" s="337">
        <f>1/(F21*G21)</f>
        <v>2</v>
      </c>
      <c r="J21" s="338">
        <f>E21*I21</f>
        <v>4</v>
      </c>
      <c r="K21" s="336">
        <v>1.1499999999999999</v>
      </c>
      <c r="L21" s="312">
        <v>200</v>
      </c>
      <c r="M21" s="336">
        <f>L21/(J21*K21)</f>
        <v>43.478260869565219</v>
      </c>
      <c r="O21" s="313"/>
    </row>
    <row r="22" spans="1:15" x14ac:dyDescent="0.2">
      <c r="L22" s="312"/>
    </row>
    <row r="23" spans="1:15" x14ac:dyDescent="0.2">
      <c r="L23" s="312"/>
    </row>
    <row r="24" spans="1:15" x14ac:dyDescent="0.2">
      <c r="L24" s="312"/>
    </row>
  </sheetData>
  <protectedRanges>
    <protectedRange sqref="A1" name="Bereich1_1_1_1_1_1_1_1_1"/>
    <protectedRange sqref="A2:D2 B1:D1" name="Bereich1_1_1_1_1_1_1_1"/>
    <protectedRange sqref="E1:U2" name="Bereich1_1_1_1_1_1_1_1_5"/>
  </protectedRange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3F38C-AEE3-4DEB-8E3D-1575866E519C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B254B-C276-4DC2-B644-15217D969972}">
  <dimension ref="A1:Y37"/>
  <sheetViews>
    <sheetView workbookViewId="0">
      <selection activeCell="H23" sqref="H23"/>
    </sheetView>
  </sheetViews>
  <sheetFormatPr baseColWidth="10" defaultRowHeight="15.75" x14ac:dyDescent="0.2"/>
  <cols>
    <col min="1" max="1" width="2.28515625" style="135" customWidth="1"/>
    <col min="2" max="2" width="9.85546875" style="127" customWidth="1"/>
    <col min="3" max="3" width="11" style="127" customWidth="1"/>
    <col min="4" max="4" width="8.85546875" style="127" bestFit="1" customWidth="1"/>
    <col min="5" max="5" width="44.28515625" style="129" customWidth="1"/>
    <col min="6" max="6" width="8.140625" style="130" bestFit="1" customWidth="1"/>
    <col min="7" max="7" width="11" style="131" customWidth="1"/>
    <col min="8" max="9" width="13.42578125" style="131" customWidth="1"/>
    <col min="10" max="10" width="10.7109375" style="132" customWidth="1"/>
    <col min="11" max="11" width="10.7109375" style="959" customWidth="1"/>
    <col min="12" max="12" width="10.7109375" style="132" customWidth="1"/>
    <col min="13" max="13" width="10.7109375" style="131" customWidth="1"/>
    <col min="14" max="14" width="10.7109375" style="133" customWidth="1"/>
    <col min="15" max="15" width="8.5703125" style="134" customWidth="1"/>
    <col min="16" max="16" width="8.7109375" style="124" bestFit="1" customWidth="1"/>
    <col min="17" max="17" width="2.140625" style="376" bestFit="1" customWidth="1"/>
    <col min="18" max="18" width="5.140625" style="124" bestFit="1" customWidth="1"/>
    <col min="19" max="19" width="2.28515625" style="124" customWidth="1"/>
    <col min="20" max="20" width="8.7109375" style="124" bestFit="1" customWidth="1"/>
    <col min="21" max="21" width="2.140625" style="376" bestFit="1" customWidth="1"/>
    <col min="22" max="22" width="5.140625" style="124" bestFit="1" customWidth="1"/>
    <col min="23" max="23" width="11.42578125" style="124"/>
    <col min="24" max="24" width="9" style="124" customWidth="1"/>
    <col min="25" max="25" width="12.42578125" style="124" customWidth="1"/>
    <col min="26" max="16384" width="11.42578125" style="124"/>
  </cols>
  <sheetData>
    <row r="1" spans="1:25" x14ac:dyDescent="0.2">
      <c r="A1" s="117"/>
      <c r="B1" s="116" t="s">
        <v>157</v>
      </c>
      <c r="C1" s="116"/>
      <c r="D1" s="116"/>
      <c r="E1" s="119"/>
      <c r="F1" s="120"/>
      <c r="G1" s="121"/>
      <c r="H1" s="121"/>
      <c r="I1" s="121"/>
    </row>
    <row r="2" spans="1:25" x14ac:dyDescent="0.2">
      <c r="A2" s="117"/>
      <c r="B2" s="125" t="s">
        <v>40</v>
      </c>
      <c r="C2" s="125"/>
      <c r="D2" s="125"/>
      <c r="E2" s="119"/>
      <c r="F2" s="120"/>
      <c r="G2" s="121"/>
      <c r="H2" s="121"/>
      <c r="I2" s="121"/>
    </row>
    <row r="3" spans="1:25" ht="23.25" x14ac:dyDescent="0.2">
      <c r="A3" s="126"/>
      <c r="B3" s="328" t="s">
        <v>171</v>
      </c>
    </row>
    <row r="4" spans="1:25" s="136" customFormat="1" x14ac:dyDescent="0.2">
      <c r="A4" s="135"/>
      <c r="B4" s="1068" t="s">
        <v>185</v>
      </c>
      <c r="C4" s="1069" t="s">
        <v>183</v>
      </c>
      <c r="D4" s="1068" t="s">
        <v>184</v>
      </c>
      <c r="E4" s="1067" t="s">
        <v>0</v>
      </c>
      <c r="F4" s="1070" t="s">
        <v>1</v>
      </c>
      <c r="G4" s="1067" t="s">
        <v>196</v>
      </c>
      <c r="H4" s="1071" t="s">
        <v>285</v>
      </c>
      <c r="I4" s="1071" t="s">
        <v>286</v>
      </c>
      <c r="J4" s="1073" t="s">
        <v>201</v>
      </c>
      <c r="K4" s="1074" t="s">
        <v>189</v>
      </c>
      <c r="L4" s="1068" t="s">
        <v>17</v>
      </c>
      <c r="M4" s="1067" t="s">
        <v>197</v>
      </c>
      <c r="N4" s="1060" t="s">
        <v>32</v>
      </c>
      <c r="O4" s="1061" t="s">
        <v>192</v>
      </c>
      <c r="P4" s="1062" t="s">
        <v>196</v>
      </c>
      <c r="Q4" s="1062"/>
      <c r="R4" s="1063"/>
      <c r="S4" s="139"/>
      <c r="T4" s="1064" t="s">
        <v>202</v>
      </c>
      <c r="U4" s="1065"/>
      <c r="V4" s="1066"/>
      <c r="W4" s="1058" t="s">
        <v>32</v>
      </c>
      <c r="X4" s="1059" t="s">
        <v>311</v>
      </c>
      <c r="Y4" s="1057" t="s">
        <v>368</v>
      </c>
    </row>
    <row r="5" spans="1:25" ht="15.75" customHeight="1" thickBot="1" x14ac:dyDescent="0.25">
      <c r="A5" s="144"/>
      <c r="B5" s="1068"/>
      <c r="C5" s="1069"/>
      <c r="D5" s="1068"/>
      <c r="E5" s="1067"/>
      <c r="F5" s="1070"/>
      <c r="G5" s="1067"/>
      <c r="H5" s="1072"/>
      <c r="I5" s="1072"/>
      <c r="J5" s="1073"/>
      <c r="K5" s="1075"/>
      <c r="L5" s="1068"/>
      <c r="M5" s="1067"/>
      <c r="N5" s="1060"/>
      <c r="O5" s="1061"/>
      <c r="P5" s="561" t="s">
        <v>195</v>
      </c>
      <c r="Q5" s="559"/>
      <c r="R5" s="560" t="s">
        <v>194</v>
      </c>
      <c r="S5" s="390"/>
      <c r="T5" s="397" t="s">
        <v>195</v>
      </c>
      <c r="U5" s="403" t="s">
        <v>193</v>
      </c>
      <c r="V5" s="398" t="s">
        <v>194</v>
      </c>
      <c r="W5" s="1058"/>
      <c r="X5" s="1059"/>
      <c r="Y5" s="1057"/>
    </row>
    <row r="6" spans="1:25" ht="17.25" thickTop="1" thickBot="1" x14ac:dyDescent="0.25">
      <c r="A6" s="145"/>
      <c r="B6" s="368"/>
      <c r="C6" s="369"/>
      <c r="D6" s="369"/>
      <c r="E6" s="369"/>
      <c r="F6" s="370"/>
      <c r="G6" s="371"/>
      <c r="H6" s="371"/>
      <c r="I6" s="371"/>
      <c r="J6" s="443"/>
      <c r="K6" s="444">
        <v>0</v>
      </c>
      <c r="L6" s="375"/>
      <c r="M6" s="372"/>
      <c r="N6" s="760"/>
      <c r="O6" s="761"/>
      <c r="P6" s="762"/>
      <c r="X6" s="390"/>
    </row>
    <row r="7" spans="1:25" ht="19.5" thickTop="1" x14ac:dyDescent="0.2">
      <c r="A7" s="146"/>
      <c r="B7" s="765"/>
      <c r="C7" s="413"/>
      <c r="D7" s="413"/>
      <c r="E7" s="129" t="s">
        <v>269</v>
      </c>
      <c r="F7" s="414"/>
      <c r="G7" s="435"/>
      <c r="H7" s="796"/>
      <c r="I7" s="796"/>
      <c r="J7" s="445"/>
      <c r="K7" s="814"/>
      <c r="L7" s="446"/>
      <c r="M7" s="415"/>
      <c r="N7" s="437"/>
      <c r="O7" s="438"/>
      <c r="P7" s="417"/>
      <c r="Q7" s="418"/>
      <c r="R7" s="420"/>
      <c r="T7" s="417"/>
      <c r="U7" s="418"/>
      <c r="V7" s="420"/>
      <c r="W7" s="417"/>
      <c r="X7" s="421"/>
      <c r="Y7" s="545"/>
    </row>
    <row r="8" spans="1:25" x14ac:dyDescent="0.2">
      <c r="A8" s="153"/>
      <c r="B8" s="766"/>
      <c r="C8" s="550"/>
      <c r="D8" s="147"/>
      <c r="E8" s="154" t="s">
        <v>322</v>
      </c>
      <c r="F8" s="148" t="s">
        <v>119</v>
      </c>
      <c r="G8" s="149" t="s">
        <v>6</v>
      </c>
      <c r="H8" s="808"/>
      <c r="I8" s="808"/>
      <c r="J8" s="809"/>
      <c r="K8" s="810">
        <f>$K$6</f>
        <v>0</v>
      </c>
      <c r="L8" s="811">
        <v>1</v>
      </c>
      <c r="M8" s="373">
        <v>50</v>
      </c>
      <c r="N8" s="152">
        <f>(K8*L8)/M8</f>
        <v>0</v>
      </c>
      <c r="O8" s="381">
        <f>ROUNDUP(N8,0)</f>
        <v>0</v>
      </c>
      <c r="P8" s="432">
        <f>ROUNDDOWN(O8/24,0)</f>
        <v>0</v>
      </c>
      <c r="Q8" s="378" t="s">
        <v>193</v>
      </c>
      <c r="R8" s="433">
        <f>MOD(O8,24)</f>
        <v>0</v>
      </c>
      <c r="T8" s="860">
        <f>P8</f>
        <v>0</v>
      </c>
      <c r="U8" s="160" t="s">
        <v>193</v>
      </c>
      <c r="V8" s="861">
        <f>R8</f>
        <v>0</v>
      </c>
      <c r="W8" s="383">
        <f>(T8*24)+V8</f>
        <v>0</v>
      </c>
      <c r="X8" s="450">
        <f>W8*1</f>
        <v>0</v>
      </c>
      <c r="Y8" s="546" t="s">
        <v>308</v>
      </c>
    </row>
    <row r="9" spans="1:25" x14ac:dyDescent="0.2">
      <c r="A9" s="155"/>
      <c r="B9" s="766"/>
      <c r="C9" s="548"/>
      <c r="D9" s="147"/>
      <c r="E9" s="154" t="s">
        <v>321</v>
      </c>
      <c r="F9" s="148" t="s">
        <v>120</v>
      </c>
      <c r="G9" s="149" t="s">
        <v>6</v>
      </c>
      <c r="H9" s="808"/>
      <c r="I9" s="808"/>
      <c r="J9" s="809"/>
      <c r="K9" s="810">
        <f>$K$6</f>
        <v>0</v>
      </c>
      <c r="L9" s="811">
        <v>1</v>
      </c>
      <c r="M9" s="373">
        <v>25</v>
      </c>
      <c r="N9" s="152">
        <f t="shared" ref="N9:N26" si="0">(K9*L9)/M9</f>
        <v>0</v>
      </c>
      <c r="O9" s="381">
        <f t="shared" ref="O9:O29" si="1">ROUNDUP(N9,0)</f>
        <v>0</v>
      </c>
      <c r="P9" s="432">
        <f>ROUNDDOWN(O9/56,0)</f>
        <v>0</v>
      </c>
      <c r="Q9" s="378" t="s">
        <v>193</v>
      </c>
      <c r="R9" s="433">
        <f>MOD(O9,56)</f>
        <v>0</v>
      </c>
      <c r="T9" s="860">
        <f>P9</f>
        <v>0</v>
      </c>
      <c r="U9" s="160" t="s">
        <v>193</v>
      </c>
      <c r="V9" s="861">
        <f>R9</f>
        <v>0</v>
      </c>
      <c r="W9" s="383">
        <f>(T9*56)+V9</f>
        <v>0</v>
      </c>
      <c r="X9" s="450">
        <f t="shared" ref="X9:X29" si="2">W9*1</f>
        <v>0</v>
      </c>
      <c r="Y9" s="546" t="s">
        <v>308</v>
      </c>
    </row>
    <row r="10" spans="1:25" x14ac:dyDescent="0.2">
      <c r="A10" s="155"/>
      <c r="B10" s="767"/>
      <c r="C10" s="549"/>
      <c r="D10" s="423"/>
      <c r="E10" s="424" t="s">
        <v>65</v>
      </c>
      <c r="F10" s="425"/>
      <c r="G10" s="441"/>
      <c r="H10" s="812"/>
      <c r="I10" s="812"/>
      <c r="J10" s="813"/>
      <c r="K10" s="814"/>
      <c r="L10" s="815"/>
      <c r="M10" s="427"/>
      <c r="N10" s="389"/>
      <c r="O10" s="428"/>
      <c r="P10" s="539"/>
      <c r="Q10" s="473"/>
      <c r="R10" s="540"/>
      <c r="T10" s="857"/>
      <c r="U10" s="858"/>
      <c r="V10" s="859"/>
      <c r="W10" s="382"/>
      <c r="X10" s="449"/>
      <c r="Y10" s="385"/>
    </row>
    <row r="11" spans="1:25" x14ac:dyDescent="0.2">
      <c r="A11" s="155"/>
      <c r="B11" s="766"/>
      <c r="C11" s="550"/>
      <c r="D11" s="147"/>
      <c r="E11" s="158" t="s">
        <v>323</v>
      </c>
      <c r="F11" s="165" t="s">
        <v>125</v>
      </c>
      <c r="G11" s="149" t="s">
        <v>190</v>
      </c>
      <c r="H11" s="816"/>
      <c r="I11" s="817"/>
      <c r="J11" s="818">
        <v>2</v>
      </c>
      <c r="K11" s="810">
        <f>$K$6</f>
        <v>0</v>
      </c>
      <c r="L11" s="811">
        <v>1</v>
      </c>
      <c r="M11" s="373">
        <f>300/J11</f>
        <v>150</v>
      </c>
      <c r="N11" s="152">
        <f>(K11*L11)/M11</f>
        <v>0</v>
      </c>
      <c r="O11" s="381">
        <f>ROUNDUP(N11,0)</f>
        <v>0</v>
      </c>
      <c r="P11" s="1051">
        <f>ROUNDDOWN(O11/1,0)</f>
        <v>0</v>
      </c>
      <c r="Q11" s="1052"/>
      <c r="R11" s="1053"/>
      <c r="T11" s="1054">
        <f>P11</f>
        <v>0</v>
      </c>
      <c r="U11" s="1055"/>
      <c r="V11" s="1056"/>
      <c r="W11" s="383">
        <f>(T11*1)+V11</f>
        <v>0</v>
      </c>
      <c r="X11" s="450">
        <f>W11*1</f>
        <v>0</v>
      </c>
      <c r="Y11" s="546" t="s">
        <v>261</v>
      </c>
    </row>
    <row r="12" spans="1:25" x14ac:dyDescent="0.2">
      <c r="A12" s="145"/>
      <c r="B12" s="766"/>
      <c r="C12" s="550"/>
      <c r="D12" s="147"/>
      <c r="E12" s="158" t="s">
        <v>270</v>
      </c>
      <c r="F12" s="165" t="s">
        <v>125</v>
      </c>
      <c r="G12" s="149" t="s">
        <v>6</v>
      </c>
      <c r="H12" s="816"/>
      <c r="I12" s="817"/>
      <c r="J12" s="818">
        <v>2</v>
      </c>
      <c r="K12" s="810">
        <f>$K$6</f>
        <v>0</v>
      </c>
      <c r="L12" s="811">
        <v>1</v>
      </c>
      <c r="M12" s="373">
        <f>12/J12</f>
        <v>6</v>
      </c>
      <c r="N12" s="152">
        <f>(K12*L12)/M12</f>
        <v>0</v>
      </c>
      <c r="O12" s="381">
        <f>ROUNDUP(N12,0)</f>
        <v>0</v>
      </c>
      <c r="P12" s="432">
        <f>ROUNDDOWN(O12/32,0)</f>
        <v>0</v>
      </c>
      <c r="Q12" s="378" t="s">
        <v>193</v>
      </c>
      <c r="R12" s="433">
        <f>MOD(O12,32)</f>
        <v>0</v>
      </c>
      <c r="T12" s="860">
        <f>P12</f>
        <v>0</v>
      </c>
      <c r="U12" s="160" t="s">
        <v>193</v>
      </c>
      <c r="V12" s="861">
        <f>R12</f>
        <v>0</v>
      </c>
      <c r="W12" s="383">
        <f>(T12*32)+V12</f>
        <v>0</v>
      </c>
      <c r="X12" s="450">
        <f>W12*1</f>
        <v>0</v>
      </c>
      <c r="Y12" s="546" t="s">
        <v>308</v>
      </c>
    </row>
    <row r="13" spans="1:25" x14ac:dyDescent="0.2">
      <c r="A13" s="155"/>
      <c r="B13" s="767"/>
      <c r="C13" s="551"/>
      <c r="D13" s="439"/>
      <c r="E13" s="129" t="s">
        <v>268</v>
      </c>
      <c r="F13" s="440"/>
      <c r="G13" s="441"/>
      <c r="H13" s="812"/>
      <c r="I13" s="812"/>
      <c r="J13" s="819"/>
      <c r="K13" s="814"/>
      <c r="L13" s="815"/>
      <c r="M13" s="427"/>
      <c r="N13" s="389"/>
      <c r="O13" s="428"/>
      <c r="P13" s="382"/>
      <c r="R13" s="384"/>
      <c r="T13" s="862"/>
      <c r="U13" s="406"/>
      <c r="V13" s="850"/>
      <c r="W13" s="382"/>
      <c r="X13" s="449"/>
      <c r="Y13" s="385"/>
    </row>
    <row r="14" spans="1:25" x14ac:dyDescent="0.2">
      <c r="A14" s="155"/>
      <c r="B14" s="766"/>
      <c r="C14" s="550"/>
      <c r="D14" s="147"/>
      <c r="E14" s="154" t="s">
        <v>324</v>
      </c>
      <c r="F14" s="148" t="s">
        <v>58</v>
      </c>
      <c r="G14" s="149" t="s">
        <v>6</v>
      </c>
      <c r="H14" s="808"/>
      <c r="I14" s="808"/>
      <c r="J14" s="809"/>
      <c r="K14" s="810">
        <f>$K$6</f>
        <v>0</v>
      </c>
      <c r="L14" s="811">
        <v>1</v>
      </c>
      <c r="M14" s="373">
        <v>100</v>
      </c>
      <c r="N14" s="152">
        <f t="shared" si="0"/>
        <v>0</v>
      </c>
      <c r="O14" s="381">
        <f t="shared" si="1"/>
        <v>0</v>
      </c>
      <c r="P14" s="432">
        <f>ROUNDDOWN(O14/30,0)</f>
        <v>0</v>
      </c>
      <c r="Q14" s="378" t="s">
        <v>193</v>
      </c>
      <c r="R14" s="433">
        <f>MOD(O14,30)</f>
        <v>0</v>
      </c>
      <c r="T14" s="860">
        <f>P14</f>
        <v>0</v>
      </c>
      <c r="U14" s="160" t="s">
        <v>193</v>
      </c>
      <c r="V14" s="861">
        <f>R14</f>
        <v>0</v>
      </c>
      <c r="W14" s="383">
        <f>(T14*30)+V14</f>
        <v>0</v>
      </c>
      <c r="X14" s="450">
        <f t="shared" si="2"/>
        <v>0</v>
      </c>
      <c r="Y14" s="546" t="s">
        <v>308</v>
      </c>
    </row>
    <row r="15" spans="1:25" x14ac:dyDescent="0.2">
      <c r="A15" s="155"/>
      <c r="B15" s="766"/>
      <c r="C15" s="550"/>
      <c r="D15" s="147"/>
      <c r="E15" s="154" t="s">
        <v>325</v>
      </c>
      <c r="F15" s="148" t="s">
        <v>57</v>
      </c>
      <c r="G15" s="149" t="s">
        <v>6</v>
      </c>
      <c r="H15" s="808"/>
      <c r="I15" s="808"/>
      <c r="J15" s="820"/>
      <c r="K15" s="810">
        <f>$K$6</f>
        <v>0</v>
      </c>
      <c r="L15" s="811">
        <v>1</v>
      </c>
      <c r="M15" s="373">
        <v>50</v>
      </c>
      <c r="N15" s="152">
        <f t="shared" si="0"/>
        <v>0</v>
      </c>
      <c r="O15" s="381">
        <f t="shared" si="1"/>
        <v>0</v>
      </c>
      <c r="P15" s="432">
        <f>ROUNDDOWN(O15/56,0)</f>
        <v>0</v>
      </c>
      <c r="Q15" s="378" t="s">
        <v>193</v>
      </c>
      <c r="R15" s="433">
        <f>MOD(O15,56)</f>
        <v>0</v>
      </c>
      <c r="T15" s="860">
        <f>P15</f>
        <v>0</v>
      </c>
      <c r="U15" s="160" t="s">
        <v>193</v>
      </c>
      <c r="V15" s="861">
        <f>R15</f>
        <v>0</v>
      </c>
      <c r="W15" s="383">
        <f>(T15*56)+V15</f>
        <v>0</v>
      </c>
      <c r="X15" s="450">
        <f t="shared" si="2"/>
        <v>0</v>
      </c>
      <c r="Y15" s="546" t="s">
        <v>308</v>
      </c>
    </row>
    <row r="16" spans="1:25" x14ac:dyDescent="0.2">
      <c r="A16" s="155"/>
      <c r="B16" s="766"/>
      <c r="C16" s="550"/>
      <c r="D16" s="147"/>
      <c r="E16" s="154" t="s">
        <v>326</v>
      </c>
      <c r="F16" s="148" t="s">
        <v>267</v>
      </c>
      <c r="G16" s="149" t="s">
        <v>6</v>
      </c>
      <c r="H16" s="808"/>
      <c r="I16" s="808"/>
      <c r="J16" s="820"/>
      <c r="K16" s="810">
        <f>$K$6</f>
        <v>0</v>
      </c>
      <c r="L16" s="811">
        <v>1</v>
      </c>
      <c r="M16" s="373">
        <v>10</v>
      </c>
      <c r="N16" s="152">
        <f t="shared" si="0"/>
        <v>0</v>
      </c>
      <c r="O16" s="381">
        <f t="shared" si="1"/>
        <v>0</v>
      </c>
      <c r="P16" s="1051">
        <f>ROUNDDOWN(O16/1,0)</f>
        <v>0</v>
      </c>
      <c r="Q16" s="1052"/>
      <c r="R16" s="1053"/>
      <c r="T16" s="1054">
        <f>P16</f>
        <v>0</v>
      </c>
      <c r="U16" s="1055"/>
      <c r="V16" s="1056"/>
      <c r="W16" s="383">
        <f>(T16*1)+V16</f>
        <v>0</v>
      </c>
      <c r="X16" s="450">
        <f t="shared" si="2"/>
        <v>0</v>
      </c>
      <c r="Y16" s="546" t="s">
        <v>308</v>
      </c>
    </row>
    <row r="17" spans="1:25" x14ac:dyDescent="0.2">
      <c r="A17" s="155"/>
      <c r="B17" s="767"/>
      <c r="C17" s="551"/>
      <c r="D17" s="439"/>
      <c r="E17" s="424" t="s">
        <v>66</v>
      </c>
      <c r="F17" s="425"/>
      <c r="G17" s="441"/>
      <c r="H17" s="812"/>
      <c r="I17" s="812"/>
      <c r="J17" s="821"/>
      <c r="K17" s="814"/>
      <c r="L17" s="815"/>
      <c r="M17" s="427"/>
      <c r="N17" s="389"/>
      <c r="O17" s="428"/>
      <c r="P17" s="539"/>
      <c r="Q17" s="473"/>
      <c r="R17" s="540"/>
      <c r="T17" s="857"/>
      <c r="U17" s="858"/>
      <c r="V17" s="859"/>
      <c r="W17" s="382"/>
      <c r="X17" s="449"/>
      <c r="Y17" s="385"/>
    </row>
    <row r="18" spans="1:25" x14ac:dyDescent="0.2">
      <c r="A18" s="155"/>
      <c r="B18" s="766"/>
      <c r="C18" s="550"/>
      <c r="D18" s="147"/>
      <c r="E18" s="158" t="s">
        <v>327</v>
      </c>
      <c r="F18" s="165" t="s">
        <v>67</v>
      </c>
      <c r="G18" s="149" t="s">
        <v>6</v>
      </c>
      <c r="H18" s="816"/>
      <c r="I18" s="808"/>
      <c r="J18" s="818"/>
      <c r="K18" s="810">
        <f>$K$6</f>
        <v>0</v>
      </c>
      <c r="L18" s="811">
        <v>1</v>
      </c>
      <c r="M18" s="373">
        <v>6.5</v>
      </c>
      <c r="N18" s="152">
        <f t="shared" si="0"/>
        <v>0</v>
      </c>
      <c r="O18" s="381">
        <f t="shared" si="1"/>
        <v>0</v>
      </c>
      <c r="P18" s="1051">
        <f>ROUNDDOWN(O18/1,0)</f>
        <v>0</v>
      </c>
      <c r="Q18" s="1052"/>
      <c r="R18" s="1053"/>
      <c r="T18" s="1054">
        <f>P18</f>
        <v>0</v>
      </c>
      <c r="U18" s="1055"/>
      <c r="V18" s="1056"/>
      <c r="W18" s="383">
        <f>(T18*1)+V18</f>
        <v>0</v>
      </c>
      <c r="X18" s="450">
        <f t="shared" si="2"/>
        <v>0</v>
      </c>
      <c r="Y18" s="546" t="s">
        <v>308</v>
      </c>
    </row>
    <row r="19" spans="1:25" x14ac:dyDescent="0.2">
      <c r="A19" s="155"/>
      <c r="B19" s="766"/>
      <c r="C19" s="550"/>
      <c r="D19" s="147"/>
      <c r="E19" s="158" t="s">
        <v>328</v>
      </c>
      <c r="F19" s="165" t="s">
        <v>67</v>
      </c>
      <c r="G19" s="149" t="s">
        <v>191</v>
      </c>
      <c r="H19" s="816"/>
      <c r="I19" s="808"/>
      <c r="J19" s="818"/>
      <c r="K19" s="810">
        <f>$K$6</f>
        <v>0</v>
      </c>
      <c r="L19" s="811">
        <v>1</v>
      </c>
      <c r="M19" s="373">
        <v>1.3</v>
      </c>
      <c r="N19" s="152">
        <f t="shared" si="0"/>
        <v>0</v>
      </c>
      <c r="O19" s="381">
        <f t="shared" si="1"/>
        <v>0</v>
      </c>
      <c r="P19" s="1051">
        <f>ROUNDDOWN(O19/1,0)</f>
        <v>0</v>
      </c>
      <c r="Q19" s="1052"/>
      <c r="R19" s="1053"/>
      <c r="T19" s="1054">
        <f>P19</f>
        <v>0</v>
      </c>
      <c r="U19" s="1055"/>
      <c r="V19" s="1056"/>
      <c r="W19" s="383">
        <f>(T19*1)+V19</f>
        <v>0</v>
      </c>
      <c r="X19" s="450">
        <f t="shared" si="2"/>
        <v>0</v>
      </c>
      <c r="Y19" s="546" t="s">
        <v>309</v>
      </c>
    </row>
    <row r="20" spans="1:25" x14ac:dyDescent="0.2">
      <c r="A20" s="155"/>
      <c r="B20" s="767"/>
      <c r="C20" s="551"/>
      <c r="D20" s="439"/>
      <c r="E20" s="544" t="s">
        <v>68</v>
      </c>
      <c r="F20" s="425"/>
      <c r="G20" s="441"/>
      <c r="H20" s="812"/>
      <c r="I20" s="812"/>
      <c r="J20" s="813"/>
      <c r="K20" s="814"/>
      <c r="L20" s="815"/>
      <c r="M20" s="427"/>
      <c r="N20" s="389"/>
      <c r="O20" s="428"/>
      <c r="P20" s="382"/>
      <c r="R20" s="384"/>
      <c r="T20" s="862"/>
      <c r="U20" s="406"/>
      <c r="V20" s="850"/>
      <c r="W20" s="382"/>
      <c r="X20" s="449"/>
      <c r="Y20" s="385"/>
    </row>
    <row r="21" spans="1:25" x14ac:dyDescent="0.2">
      <c r="A21" s="157"/>
      <c r="B21" s="766"/>
      <c r="C21" s="550"/>
      <c r="D21" s="147"/>
      <c r="E21" s="154" t="s">
        <v>329</v>
      </c>
      <c r="F21" s="148" t="s">
        <v>30</v>
      </c>
      <c r="G21" s="149" t="s">
        <v>190</v>
      </c>
      <c r="H21" s="808"/>
      <c r="I21" s="808"/>
      <c r="J21" s="809">
        <v>3</v>
      </c>
      <c r="K21" s="810">
        <f>$K$6</f>
        <v>0</v>
      </c>
      <c r="L21" s="811">
        <v>1</v>
      </c>
      <c r="M21" s="373">
        <f>544/J21</f>
        <v>181.33333333333334</v>
      </c>
      <c r="N21" s="152">
        <f t="shared" si="0"/>
        <v>0</v>
      </c>
      <c r="O21" s="381">
        <f t="shared" si="1"/>
        <v>0</v>
      </c>
      <c r="P21" s="1051">
        <f>ROUNDDOWN(O21/1,0)</f>
        <v>0</v>
      </c>
      <c r="Q21" s="1052"/>
      <c r="R21" s="1053"/>
      <c r="T21" s="1054">
        <f>P21</f>
        <v>0</v>
      </c>
      <c r="U21" s="1055"/>
      <c r="V21" s="1056"/>
      <c r="W21" s="383">
        <f>(T21*1)+V21</f>
        <v>0</v>
      </c>
      <c r="X21" s="450">
        <f t="shared" si="2"/>
        <v>0</v>
      </c>
      <c r="Y21" s="546" t="s">
        <v>261</v>
      </c>
    </row>
    <row r="22" spans="1:25" x14ac:dyDescent="0.2">
      <c r="A22" s="157"/>
      <c r="B22" s="766"/>
      <c r="C22" s="550"/>
      <c r="D22" s="147"/>
      <c r="E22" s="154" t="s">
        <v>330</v>
      </c>
      <c r="F22" s="148" t="s">
        <v>29</v>
      </c>
      <c r="G22" s="149" t="s">
        <v>3</v>
      </c>
      <c r="H22" s="808"/>
      <c r="I22" s="808"/>
      <c r="J22" s="809">
        <v>3</v>
      </c>
      <c r="K22" s="810">
        <f>$K$6</f>
        <v>0</v>
      </c>
      <c r="L22" s="811">
        <v>1</v>
      </c>
      <c r="M22" s="373">
        <f>17/J22</f>
        <v>5.666666666666667</v>
      </c>
      <c r="N22" s="152">
        <f t="shared" si="0"/>
        <v>0</v>
      </c>
      <c r="O22" s="381">
        <f>ROUNDUP(N22,0)</f>
        <v>0</v>
      </c>
      <c r="P22" s="432">
        <f>ROUNDDOWN(O22/48,0)</f>
        <v>0</v>
      </c>
      <c r="Q22" s="378" t="s">
        <v>193</v>
      </c>
      <c r="R22" s="433">
        <f>MOD(O22,48)</f>
        <v>0</v>
      </c>
      <c r="S22" s="386"/>
      <c r="T22" s="860">
        <f>P22</f>
        <v>0</v>
      </c>
      <c r="U22" s="160" t="s">
        <v>193</v>
      </c>
      <c r="V22" s="863">
        <f>R22</f>
        <v>0</v>
      </c>
      <c r="W22" s="383">
        <f>(T22*48)+V22</f>
        <v>0</v>
      </c>
      <c r="X22" s="450">
        <f t="shared" si="2"/>
        <v>0</v>
      </c>
      <c r="Y22" s="546" t="s">
        <v>3</v>
      </c>
    </row>
    <row r="23" spans="1:25" x14ac:dyDescent="0.2">
      <c r="A23" s="157"/>
      <c r="B23" s="766"/>
      <c r="C23" s="550"/>
      <c r="D23" s="147"/>
      <c r="E23" s="154" t="s">
        <v>271</v>
      </c>
      <c r="F23" s="148" t="s">
        <v>126</v>
      </c>
      <c r="G23" s="149" t="s">
        <v>6</v>
      </c>
      <c r="H23" s="816"/>
      <c r="I23" s="817"/>
      <c r="J23" s="809"/>
      <c r="K23" s="810">
        <f>$K$6</f>
        <v>0</v>
      </c>
      <c r="L23" s="811">
        <v>1</v>
      </c>
      <c r="M23" s="373">
        <v>60</v>
      </c>
      <c r="N23" s="152">
        <f t="shared" si="0"/>
        <v>0</v>
      </c>
      <c r="O23" s="381">
        <f t="shared" si="1"/>
        <v>0</v>
      </c>
      <c r="P23" s="1051">
        <f>ROUNDDOWN(O23/1,0)</f>
        <v>0</v>
      </c>
      <c r="Q23" s="1052"/>
      <c r="R23" s="1053"/>
      <c r="T23" s="1054">
        <f>P23</f>
        <v>0</v>
      </c>
      <c r="U23" s="1055"/>
      <c r="V23" s="1056"/>
      <c r="W23" s="383">
        <f>(T23*1)+V23</f>
        <v>0</v>
      </c>
      <c r="X23" s="450">
        <f t="shared" si="2"/>
        <v>0</v>
      </c>
      <c r="Y23" s="546" t="s">
        <v>308</v>
      </c>
    </row>
    <row r="24" spans="1:25" x14ac:dyDescent="0.2">
      <c r="A24" s="157"/>
      <c r="B24" s="766"/>
      <c r="C24" s="550"/>
      <c r="D24" s="147"/>
      <c r="E24" s="154" t="s">
        <v>272</v>
      </c>
      <c r="F24" s="148" t="s">
        <v>126</v>
      </c>
      <c r="G24" s="149" t="s">
        <v>191</v>
      </c>
      <c r="H24" s="816"/>
      <c r="I24" s="817"/>
      <c r="J24" s="809"/>
      <c r="K24" s="810">
        <f>$K$6</f>
        <v>0</v>
      </c>
      <c r="L24" s="811">
        <v>1</v>
      </c>
      <c r="M24" s="373">
        <v>9</v>
      </c>
      <c r="N24" s="152">
        <f t="shared" si="0"/>
        <v>0</v>
      </c>
      <c r="O24" s="381">
        <f t="shared" si="1"/>
        <v>0</v>
      </c>
      <c r="P24" s="1051">
        <f>ROUNDDOWN(O24/1,0)</f>
        <v>0</v>
      </c>
      <c r="Q24" s="1052"/>
      <c r="R24" s="1053"/>
      <c r="T24" s="1054">
        <f>P24</f>
        <v>0</v>
      </c>
      <c r="U24" s="1055"/>
      <c r="V24" s="1056"/>
      <c r="W24" s="383">
        <f>(T24*1)+V24</f>
        <v>0</v>
      </c>
      <c r="X24" s="450">
        <f t="shared" si="2"/>
        <v>0</v>
      </c>
      <c r="Y24" s="546" t="s">
        <v>308</v>
      </c>
    </row>
    <row r="25" spans="1:25" x14ac:dyDescent="0.2">
      <c r="A25" s="157"/>
      <c r="B25" s="767"/>
      <c r="C25" s="551"/>
      <c r="D25" s="439"/>
      <c r="E25" s="544" t="s">
        <v>74</v>
      </c>
      <c r="F25" s="425"/>
      <c r="G25" s="441"/>
      <c r="H25" s="812"/>
      <c r="I25" s="812"/>
      <c r="J25" s="813"/>
      <c r="K25" s="814"/>
      <c r="L25" s="815"/>
      <c r="M25" s="427"/>
      <c r="N25" s="389"/>
      <c r="O25" s="428"/>
      <c r="P25" s="382"/>
      <c r="R25" s="384"/>
      <c r="T25" s="862"/>
      <c r="U25" s="406"/>
      <c r="V25" s="850"/>
      <c r="W25" s="382"/>
      <c r="X25" s="449"/>
      <c r="Y25" s="385"/>
    </row>
    <row r="26" spans="1:25" ht="18" x14ac:dyDescent="0.2">
      <c r="A26" s="157"/>
      <c r="B26" s="766"/>
      <c r="C26" s="550"/>
      <c r="D26" s="147"/>
      <c r="E26" s="211" t="s">
        <v>299</v>
      </c>
      <c r="F26" s="148" t="s">
        <v>162</v>
      </c>
      <c r="G26" s="149" t="s">
        <v>6</v>
      </c>
      <c r="H26" s="808"/>
      <c r="I26" s="808"/>
      <c r="J26" s="809"/>
      <c r="K26" s="810">
        <f>$K$6</f>
        <v>0</v>
      </c>
      <c r="L26" s="811">
        <v>1</v>
      </c>
      <c r="M26" s="373">
        <v>18</v>
      </c>
      <c r="N26" s="152">
        <f t="shared" si="0"/>
        <v>0</v>
      </c>
      <c r="O26" s="380">
        <f t="shared" si="1"/>
        <v>0</v>
      </c>
      <c r="P26" s="432">
        <f>ROUNDDOWN(O26/40,0)</f>
        <v>0</v>
      </c>
      <c r="Q26" s="378" t="s">
        <v>193</v>
      </c>
      <c r="R26" s="433">
        <f>MOD(O26,40)</f>
        <v>0</v>
      </c>
      <c r="T26" s="860">
        <f>P26</f>
        <v>0</v>
      </c>
      <c r="U26" s="160" t="s">
        <v>193</v>
      </c>
      <c r="V26" s="863">
        <f>R26</f>
        <v>0</v>
      </c>
      <c r="W26" s="383">
        <f>(T26*40)+V26</f>
        <v>0</v>
      </c>
      <c r="X26" s="450">
        <f t="shared" si="2"/>
        <v>0</v>
      </c>
      <c r="Y26" s="546" t="s">
        <v>308</v>
      </c>
    </row>
    <row r="27" spans="1:25" ht="18" x14ac:dyDescent="0.2">
      <c r="A27" s="157"/>
      <c r="B27" s="766"/>
      <c r="C27" s="550"/>
      <c r="D27" s="147"/>
      <c r="E27" s="211" t="s">
        <v>300</v>
      </c>
      <c r="F27" s="148" t="s">
        <v>162</v>
      </c>
      <c r="G27" s="149" t="s">
        <v>6</v>
      </c>
      <c r="H27" s="808"/>
      <c r="I27" s="808"/>
      <c r="J27" s="809"/>
      <c r="K27" s="810">
        <f>$K$6</f>
        <v>0</v>
      </c>
      <c r="L27" s="811">
        <v>1</v>
      </c>
      <c r="M27" s="373">
        <v>33</v>
      </c>
      <c r="N27" s="152">
        <f>(K27*L27)/M27</f>
        <v>0</v>
      </c>
      <c r="O27" s="380">
        <f>ROUNDUP(N27,0)</f>
        <v>0</v>
      </c>
      <c r="P27" s="432">
        <f>ROUNDDOWN(O27/40,0)</f>
        <v>0</v>
      </c>
      <c r="Q27" s="378" t="s">
        <v>193</v>
      </c>
      <c r="R27" s="433">
        <f>MOD(O27,40)</f>
        <v>0</v>
      </c>
      <c r="T27" s="860">
        <f>P27</f>
        <v>0</v>
      </c>
      <c r="U27" s="160" t="s">
        <v>193</v>
      </c>
      <c r="V27" s="863">
        <f>R27</f>
        <v>0</v>
      </c>
      <c r="W27" s="383">
        <f>(T27*40)+V27</f>
        <v>0</v>
      </c>
      <c r="X27" s="450">
        <f>W27*1</f>
        <v>0</v>
      </c>
      <c r="Y27" s="546" t="s">
        <v>308</v>
      </c>
    </row>
    <row r="28" spans="1:25" ht="18" x14ac:dyDescent="0.2">
      <c r="A28" s="157"/>
      <c r="B28" s="766"/>
      <c r="C28" s="550"/>
      <c r="D28" s="147"/>
      <c r="E28" s="211" t="s">
        <v>301</v>
      </c>
      <c r="F28" s="148" t="s">
        <v>163</v>
      </c>
      <c r="G28" s="387" t="s">
        <v>6</v>
      </c>
      <c r="H28" s="822"/>
      <c r="I28" s="822"/>
      <c r="J28" s="809"/>
      <c r="K28" s="810">
        <f>$K$6</f>
        <v>0</v>
      </c>
      <c r="L28" s="811">
        <v>1</v>
      </c>
      <c r="M28" s="373">
        <v>15</v>
      </c>
      <c r="N28" s="152">
        <f>K28/M28</f>
        <v>0</v>
      </c>
      <c r="O28" s="380">
        <f>ROUNDUP(N28,0)</f>
        <v>0</v>
      </c>
      <c r="P28" s="432">
        <f>ROUNDDOWN(O28/40,0)</f>
        <v>0</v>
      </c>
      <c r="Q28" s="378" t="s">
        <v>193</v>
      </c>
      <c r="R28" s="433">
        <f>MOD(O28,40)</f>
        <v>0</v>
      </c>
      <c r="T28" s="860">
        <f>P28</f>
        <v>0</v>
      </c>
      <c r="U28" s="160" t="s">
        <v>193</v>
      </c>
      <c r="V28" s="863">
        <f>R28</f>
        <v>0</v>
      </c>
      <c r="W28" s="383">
        <f>(T28*40)+V28</f>
        <v>0</v>
      </c>
      <c r="X28" s="450">
        <f>W28*1</f>
        <v>0</v>
      </c>
      <c r="Y28" s="546" t="s">
        <v>308</v>
      </c>
    </row>
    <row r="29" spans="1:25" ht="18" x14ac:dyDescent="0.2">
      <c r="A29" s="157"/>
      <c r="B29" s="768"/>
      <c r="C29" s="552"/>
      <c r="D29" s="147"/>
      <c r="E29" s="288" t="s">
        <v>302</v>
      </c>
      <c r="F29" s="289" t="s">
        <v>163</v>
      </c>
      <c r="G29" s="412" t="s">
        <v>6</v>
      </c>
      <c r="H29" s="823"/>
      <c r="I29" s="823"/>
      <c r="J29" s="824"/>
      <c r="K29" s="960">
        <f>$K$6</f>
        <v>0</v>
      </c>
      <c r="L29" s="825">
        <v>1</v>
      </c>
      <c r="M29" s="374">
        <v>28</v>
      </c>
      <c r="N29" s="447">
        <f>K29/M29</f>
        <v>0</v>
      </c>
      <c r="O29" s="448">
        <f t="shared" si="1"/>
        <v>0</v>
      </c>
      <c r="P29" s="538">
        <f>ROUNDDOWN(O29/40,0)</f>
        <v>0</v>
      </c>
      <c r="Q29" s="401" t="s">
        <v>193</v>
      </c>
      <c r="R29" s="434">
        <f>MOD(O29,40)</f>
        <v>0</v>
      </c>
      <c r="T29" s="864">
        <f>P29</f>
        <v>0</v>
      </c>
      <c r="U29" s="865" t="s">
        <v>193</v>
      </c>
      <c r="V29" s="866">
        <f>R29</f>
        <v>0</v>
      </c>
      <c r="W29" s="400">
        <f>(T29*40)+V29</f>
        <v>0</v>
      </c>
      <c r="X29" s="542">
        <f t="shared" si="2"/>
        <v>0</v>
      </c>
      <c r="Y29" s="547" t="s">
        <v>308</v>
      </c>
    </row>
    <row r="30" spans="1:25" ht="18" x14ac:dyDescent="0.2">
      <c r="A30" s="157"/>
      <c r="B30" s="787" t="s">
        <v>390</v>
      </c>
      <c r="C30" s="555"/>
      <c r="D30" s="406"/>
      <c r="E30" s="136"/>
      <c r="F30" s="127"/>
      <c r="J30" s="556"/>
      <c r="K30" s="961"/>
      <c r="L30" s="557"/>
      <c r="M30" s="396"/>
      <c r="O30" s="379"/>
      <c r="P30" s="473"/>
      <c r="R30" s="513"/>
      <c r="T30" s="473"/>
      <c r="V30" s="513"/>
      <c r="X30" s="391"/>
    </row>
    <row r="31" spans="1:25" ht="18" x14ac:dyDescent="0.2">
      <c r="A31" s="157"/>
      <c r="B31" s="787" t="s">
        <v>391</v>
      </c>
      <c r="C31" s="555"/>
      <c r="D31" s="406"/>
      <c r="E31" s="136"/>
      <c r="F31" s="127"/>
      <c r="J31" s="556"/>
      <c r="K31" s="961"/>
      <c r="L31" s="557"/>
      <c r="M31" s="396"/>
      <c r="O31" s="379"/>
      <c r="P31" s="473"/>
      <c r="R31" s="513"/>
      <c r="T31" s="473"/>
      <c r="V31" s="513"/>
      <c r="X31" s="391"/>
    </row>
    <row r="32" spans="1:25" x14ac:dyDescent="0.2">
      <c r="A32" s="159"/>
      <c r="B32" s="138"/>
      <c r="C32" s="138"/>
      <c r="D32" s="138"/>
      <c r="E32" s="137"/>
      <c r="F32" s="139"/>
      <c r="G32" s="140"/>
      <c r="H32" s="585"/>
      <c r="I32" s="585"/>
      <c r="J32" s="141"/>
      <c r="K32" s="962"/>
      <c r="L32" s="136"/>
      <c r="M32" s="140"/>
      <c r="N32" s="143"/>
      <c r="X32" s="391"/>
    </row>
    <row r="33" spans="1:14" x14ac:dyDescent="0.2">
      <c r="A33" s="159"/>
      <c r="B33" s="160" t="s">
        <v>42</v>
      </c>
      <c r="C33" s="160"/>
      <c r="D33" s="160"/>
      <c r="E33" s="161"/>
      <c r="F33" s="160"/>
      <c r="G33" s="161"/>
      <c r="H33" s="777"/>
      <c r="I33" s="777"/>
      <c r="J33" s="408"/>
      <c r="K33" s="409"/>
      <c r="L33" s="409"/>
      <c r="N33" s="405"/>
    </row>
    <row r="34" spans="1:14" x14ac:dyDescent="0.2">
      <c r="B34" s="160"/>
      <c r="C34" s="160"/>
      <c r="D34" s="160"/>
      <c r="E34" s="161"/>
      <c r="F34" s="160"/>
      <c r="G34" s="161"/>
      <c r="H34" s="777"/>
      <c r="I34" s="777"/>
      <c r="J34" s="408"/>
      <c r="K34" s="409"/>
      <c r="L34" s="409"/>
      <c r="N34" s="405"/>
    </row>
    <row r="35" spans="1:14" x14ac:dyDescent="0.2">
      <c r="B35" s="160"/>
      <c r="C35" s="160"/>
      <c r="D35" s="160"/>
      <c r="E35" s="161"/>
      <c r="F35" s="160"/>
      <c r="G35" s="161"/>
      <c r="H35" s="777"/>
      <c r="I35" s="777"/>
      <c r="J35" s="408"/>
      <c r="K35" s="409"/>
      <c r="L35" s="409"/>
      <c r="M35" s="408"/>
      <c r="N35" s="405"/>
    </row>
    <row r="36" spans="1:14" x14ac:dyDescent="0.2">
      <c r="B36" s="160"/>
      <c r="C36" s="160"/>
      <c r="D36" s="160"/>
      <c r="E36" s="804"/>
      <c r="F36" s="805"/>
      <c r="G36" s="806"/>
      <c r="H36" s="807"/>
      <c r="I36" s="807"/>
      <c r="J36" s="411"/>
      <c r="K36" s="407"/>
      <c r="L36" s="124"/>
      <c r="M36" s="410"/>
      <c r="N36" s="143"/>
    </row>
    <row r="37" spans="1:14" x14ac:dyDescent="0.2">
      <c r="B37" s="160"/>
      <c r="C37" s="160"/>
      <c r="D37" s="160"/>
      <c r="E37" s="804"/>
      <c r="F37" s="805"/>
      <c r="G37" s="806"/>
      <c r="H37" s="807"/>
      <c r="I37" s="807"/>
      <c r="J37" s="411"/>
      <c r="K37" s="407"/>
      <c r="L37" s="124"/>
      <c r="M37" s="410"/>
      <c r="N37" s="143"/>
    </row>
  </sheetData>
  <protectedRanges>
    <protectedRange sqref="B1:D1" name="Bereich1_1_1_1_1_1_1_1_1"/>
    <protectedRange sqref="B2:D2 A1:A3" name="Bereich1_1_1_1_1_1_1_1"/>
    <protectedRange sqref="C3:D3 E1:N3" name="Bereich1_1_1_1_1_1_1_1_5"/>
    <protectedRange sqref="A4" name="Bereich1_1_1_1_1_1_1_1_4_1"/>
    <protectedRange sqref="B4:D4" name="Bereich1_1_1_1_1_1_1_1_3_1_1_3"/>
    <protectedRange sqref="E4" name="Bereich1_1_1_1_1_1_1_1_3_1_4"/>
    <protectedRange sqref="F4" name="Bereich1_1_1_1_1_1_1_1_3_1_5"/>
    <protectedRange sqref="G4 I4" name="Bereich1_1_1_1_1_1_1_1_3_1_6"/>
    <protectedRange sqref="J4" name="Bereich1_1_1_1_1_1_1_1_3_1_7"/>
    <protectedRange sqref="K4" name="Bereich1_1_1_1_1_1_1_1_3_1_8"/>
    <protectedRange sqref="L4" name="Bereich1_1_1_1_1_1_1_1_3_1_9"/>
    <protectedRange sqref="M4" name="Bereich1_1_1_1_1_1_1_1_3_1_10"/>
    <protectedRange sqref="N4" name="Bereich1_1_1_1_1_1_1_1_3_1_2_2"/>
    <protectedRange sqref="O4" name="Bereich1_1_1_1_1_1_1_1_3_1_2_5"/>
    <protectedRange sqref="W4" name="Bereich1_1_1_1_1_1_1_1_3_1_2_6"/>
    <protectedRange sqref="H4" name="Bereich1_1_1_1_1_1_1_1_3_1_6_1"/>
  </protectedRanges>
  <mergeCells count="33">
    <mergeCell ref="L4:L5"/>
    <mergeCell ref="G4:G5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N4:N5"/>
    <mergeCell ref="O4:O5"/>
    <mergeCell ref="P4:R4"/>
    <mergeCell ref="T4:V4"/>
    <mergeCell ref="M4:M5"/>
    <mergeCell ref="Y4:Y5"/>
    <mergeCell ref="W4:W5"/>
    <mergeCell ref="X4:X5"/>
    <mergeCell ref="P16:R16"/>
    <mergeCell ref="T16:V16"/>
    <mergeCell ref="P11:R11"/>
    <mergeCell ref="T11:V11"/>
    <mergeCell ref="P23:R23"/>
    <mergeCell ref="T23:V23"/>
    <mergeCell ref="P24:R24"/>
    <mergeCell ref="T24:V24"/>
    <mergeCell ref="P18:R18"/>
    <mergeCell ref="T18:V18"/>
    <mergeCell ref="P19:R19"/>
    <mergeCell ref="T19:V19"/>
    <mergeCell ref="P21:R21"/>
    <mergeCell ref="T21:V2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2D111-A8A7-465E-A2C5-814E66C09981}">
  <sheetPr>
    <pageSetUpPr fitToPage="1"/>
  </sheetPr>
  <dimension ref="A1:X60"/>
  <sheetViews>
    <sheetView zoomScale="80" zoomScaleNormal="80" workbookViewId="0">
      <selection activeCell="B54" sqref="B54"/>
    </sheetView>
  </sheetViews>
  <sheetFormatPr baseColWidth="10" defaultRowHeight="15.75" x14ac:dyDescent="0.2"/>
  <cols>
    <col min="1" max="1" width="2.28515625" style="135" customWidth="1"/>
    <col min="2" max="4" width="11" style="127" customWidth="1"/>
    <col min="5" max="5" width="44.7109375" style="129" bestFit="1" customWidth="1"/>
    <col min="6" max="6" width="13.7109375" style="130" customWidth="1"/>
    <col min="7" max="7" width="12.5703125" style="131" customWidth="1"/>
    <col min="8" max="8" width="13.42578125" style="131" customWidth="1"/>
    <col min="9" max="9" width="10.7109375" style="452" customWidth="1"/>
    <col min="10" max="10" width="10.7109375" style="132" customWidth="1"/>
    <col min="11" max="11" width="9.28515625" style="128" customWidth="1"/>
    <col min="12" max="12" width="10.7109375" style="131" customWidth="1"/>
    <col min="13" max="13" width="10.7109375" style="133" customWidth="1"/>
    <col min="14" max="14" width="8.5703125" style="134" customWidth="1"/>
    <col min="15" max="15" width="8.7109375" style="124" bestFit="1" customWidth="1"/>
    <col min="16" max="16" width="2.140625" style="376" bestFit="1" customWidth="1"/>
    <col min="17" max="17" width="5.28515625" style="124" customWidth="1"/>
    <col min="18" max="18" width="2.28515625" style="124" customWidth="1"/>
    <col min="19" max="19" width="8.7109375" style="124" bestFit="1" customWidth="1"/>
    <col min="20" max="20" width="2.140625" style="376" bestFit="1" customWidth="1"/>
    <col min="21" max="21" width="5.140625" style="124" bestFit="1" customWidth="1"/>
    <col min="22" max="22" width="11.42578125" style="124"/>
    <col min="23" max="23" width="8.42578125" style="124" bestFit="1" customWidth="1"/>
    <col min="24" max="24" width="15.5703125" style="124" customWidth="1"/>
    <col min="25" max="16384" width="11.42578125" style="124"/>
  </cols>
  <sheetData>
    <row r="1" spans="1:24" x14ac:dyDescent="0.2">
      <c r="A1" s="117"/>
      <c r="B1" s="116" t="s">
        <v>157</v>
      </c>
      <c r="C1" s="116"/>
      <c r="D1" s="116"/>
      <c r="E1" s="119"/>
      <c r="F1" s="120"/>
      <c r="G1" s="121"/>
      <c r="H1" s="121"/>
      <c r="I1" s="451"/>
      <c r="J1" s="122"/>
      <c r="K1" s="118"/>
      <c r="L1" s="121"/>
      <c r="M1" s="123"/>
    </row>
    <row r="2" spans="1:24" x14ac:dyDescent="0.2">
      <c r="A2" s="117"/>
      <c r="B2" s="125" t="s">
        <v>40</v>
      </c>
      <c r="C2" s="125"/>
      <c r="D2" s="125"/>
      <c r="E2" s="119"/>
      <c r="F2" s="120"/>
      <c r="G2" s="121"/>
      <c r="H2" s="121"/>
      <c r="I2" s="451"/>
      <c r="J2" s="122"/>
      <c r="K2" s="118"/>
      <c r="L2" s="121"/>
      <c r="M2" s="123"/>
    </row>
    <row r="3" spans="1:24" ht="23.25" x14ac:dyDescent="0.2">
      <c r="A3" s="126"/>
      <c r="B3" s="328" t="s">
        <v>174</v>
      </c>
      <c r="C3" s="328"/>
      <c r="D3" s="328"/>
    </row>
    <row r="4" spans="1:24" x14ac:dyDescent="0.2">
      <c r="A4" s="126"/>
      <c r="B4" s="1068" t="s">
        <v>185</v>
      </c>
      <c r="C4" s="1069" t="s">
        <v>183</v>
      </c>
      <c r="D4" s="1068" t="s">
        <v>184</v>
      </c>
      <c r="E4" s="1067" t="s">
        <v>0</v>
      </c>
      <c r="F4" s="1070" t="s">
        <v>1</v>
      </c>
      <c r="G4" s="1067" t="s">
        <v>196</v>
      </c>
      <c r="H4" s="1089" t="s">
        <v>285</v>
      </c>
      <c r="I4" s="1082" t="s">
        <v>201</v>
      </c>
      <c r="J4" s="1083" t="s">
        <v>189</v>
      </c>
      <c r="K4" s="1068" t="s">
        <v>17</v>
      </c>
      <c r="L4" s="1088" t="s">
        <v>197</v>
      </c>
      <c r="M4" s="1058" t="s">
        <v>32</v>
      </c>
      <c r="N4" s="1061" t="s">
        <v>192</v>
      </c>
      <c r="O4" s="1081" t="s">
        <v>196</v>
      </c>
      <c r="P4" s="1062"/>
      <c r="Q4" s="1063"/>
      <c r="R4" s="541"/>
      <c r="S4" s="1064" t="s">
        <v>202</v>
      </c>
      <c r="T4" s="1065"/>
      <c r="U4" s="1066"/>
      <c r="V4" s="1058" t="s">
        <v>32</v>
      </c>
      <c r="W4" s="1059" t="s">
        <v>200</v>
      </c>
      <c r="X4" s="1057" t="s">
        <v>368</v>
      </c>
    </row>
    <row r="5" spans="1:24" ht="32.25" thickBot="1" x14ac:dyDescent="0.25">
      <c r="A5" s="126"/>
      <c r="B5" s="1068"/>
      <c r="C5" s="1069"/>
      <c r="D5" s="1068"/>
      <c r="E5" s="1067"/>
      <c r="F5" s="1070"/>
      <c r="G5" s="1067"/>
      <c r="H5" s="1090"/>
      <c r="I5" s="1082"/>
      <c r="J5" s="1084"/>
      <c r="K5" s="1068"/>
      <c r="L5" s="1088"/>
      <c r="M5" s="1058"/>
      <c r="N5" s="1061"/>
      <c r="O5" s="558" t="s">
        <v>195</v>
      </c>
      <c r="P5" s="559"/>
      <c r="Q5" s="560" t="s">
        <v>194</v>
      </c>
      <c r="R5" s="139"/>
      <c r="S5" s="397" t="s">
        <v>195</v>
      </c>
      <c r="T5" s="403" t="s">
        <v>193</v>
      </c>
      <c r="U5" s="398" t="s">
        <v>194</v>
      </c>
      <c r="V5" s="1058"/>
      <c r="W5" s="1059"/>
      <c r="X5" s="1057"/>
    </row>
    <row r="6" spans="1:24" ht="33" customHeight="1" thickTop="1" thickBot="1" x14ac:dyDescent="0.25">
      <c r="A6" s="144"/>
      <c r="B6" s="361"/>
      <c r="C6" s="362"/>
      <c r="D6" s="362"/>
      <c r="E6" s="363"/>
      <c r="F6" s="364"/>
      <c r="G6" s="365"/>
      <c r="H6" s="365"/>
      <c r="I6" s="456"/>
      <c r="J6" s="444">
        <v>190</v>
      </c>
      <c r="K6" s="362"/>
      <c r="L6" s="366"/>
      <c r="M6" s="367"/>
      <c r="N6" s="562"/>
      <c r="O6" s="563"/>
      <c r="P6" s="418"/>
      <c r="Q6" s="564"/>
      <c r="S6" s="563"/>
      <c r="T6" s="418"/>
      <c r="U6" s="563"/>
      <c r="V6" s="565"/>
      <c r="W6" s="565"/>
    </row>
    <row r="7" spans="1:24" ht="16.5" thickTop="1" x14ac:dyDescent="0.2">
      <c r="A7" s="146"/>
      <c r="B7" s="602"/>
      <c r="C7" s="630"/>
      <c r="D7" s="602"/>
      <c r="E7" s="603" t="s">
        <v>43</v>
      </c>
      <c r="F7" s="604"/>
      <c r="G7" s="605"/>
      <c r="H7" s="605"/>
      <c r="I7" s="456"/>
      <c r="J7" s="436"/>
      <c r="K7" s="606"/>
      <c r="L7" s="607"/>
      <c r="M7" s="608"/>
      <c r="N7" s="609"/>
      <c r="O7" s="1079"/>
      <c r="P7" s="1079"/>
      <c r="Q7" s="1079"/>
      <c r="R7" s="385"/>
      <c r="S7" s="1080"/>
      <c r="T7" s="1080"/>
      <c r="U7" s="1080"/>
      <c r="V7" s="545"/>
      <c r="W7" s="611"/>
      <c r="X7" s="545"/>
    </row>
    <row r="8" spans="1:24" ht="18" x14ac:dyDescent="0.2">
      <c r="A8" s="153"/>
      <c r="B8" s="766"/>
      <c r="C8" s="550"/>
      <c r="D8" s="147"/>
      <c r="E8" s="154" t="s">
        <v>304</v>
      </c>
      <c r="F8" s="148" t="s">
        <v>55</v>
      </c>
      <c r="G8" s="387" t="s">
        <v>5</v>
      </c>
      <c r="H8" s="150"/>
      <c r="I8" s="828"/>
      <c r="J8" s="810">
        <f>$J$6</f>
        <v>190</v>
      </c>
      <c r="K8" s="811">
        <v>1</v>
      </c>
      <c r="L8" s="593">
        <v>2</v>
      </c>
      <c r="M8" s="553">
        <f>(J8*K8)/L8</f>
        <v>95</v>
      </c>
      <c r="N8" s="381">
        <f t="shared" ref="N8:N54" si="0">ROUNDUP(M8,0)</f>
        <v>95</v>
      </c>
      <c r="O8" s="1051">
        <f>ROUNDDOWN(N8/1,0)</f>
        <v>95</v>
      </c>
      <c r="P8" s="1052"/>
      <c r="Q8" s="1053"/>
      <c r="S8" s="1076">
        <f>O8</f>
        <v>95</v>
      </c>
      <c r="T8" s="1077"/>
      <c r="U8" s="1078"/>
      <c r="V8" s="404">
        <f>(S8*1)+U8</f>
        <v>95</v>
      </c>
      <c r="W8" s="402">
        <f t="shared" ref="W8:W54" si="1">V8</f>
        <v>95</v>
      </c>
      <c r="X8" s="546" t="s">
        <v>312</v>
      </c>
    </row>
    <row r="9" spans="1:24" ht="18" x14ac:dyDescent="0.2">
      <c r="A9" s="155"/>
      <c r="B9" s="766"/>
      <c r="C9" s="550"/>
      <c r="D9" s="147"/>
      <c r="E9" s="154" t="s">
        <v>400</v>
      </c>
      <c r="F9" s="148" t="s">
        <v>56</v>
      </c>
      <c r="G9" s="387" t="s">
        <v>274</v>
      </c>
      <c r="H9" s="150"/>
      <c r="I9" s="828"/>
      <c r="J9" s="810">
        <f>$J$6</f>
        <v>190</v>
      </c>
      <c r="K9" s="811">
        <v>1</v>
      </c>
      <c r="L9" s="593">
        <v>18</v>
      </c>
      <c r="M9" s="553">
        <f t="shared" ref="M9:M54" si="2">(J9*K9)/L9</f>
        <v>10.555555555555555</v>
      </c>
      <c r="N9" s="381">
        <f t="shared" si="0"/>
        <v>11</v>
      </c>
      <c r="O9" s="1051">
        <f>ROUNDDOWN(N9/1,0)</f>
        <v>11</v>
      </c>
      <c r="P9" s="1052"/>
      <c r="Q9" s="1053"/>
      <c r="S9" s="1076">
        <f>O9</f>
        <v>11</v>
      </c>
      <c r="T9" s="1077"/>
      <c r="U9" s="1078"/>
      <c r="V9" s="404">
        <f t="shared" ref="V9:V32" si="3">(S9*1)+U9</f>
        <v>11</v>
      </c>
      <c r="W9" s="402">
        <f>V9*18</f>
        <v>198</v>
      </c>
      <c r="X9" s="546" t="s">
        <v>312</v>
      </c>
    </row>
    <row r="10" spans="1:24" ht="18" x14ac:dyDescent="0.2">
      <c r="A10" s="155"/>
      <c r="B10" s="766"/>
      <c r="C10" s="550"/>
      <c r="D10" s="147"/>
      <c r="E10" s="154" t="s">
        <v>331</v>
      </c>
      <c r="F10" s="148" t="s">
        <v>275</v>
      </c>
      <c r="G10" s="387" t="s">
        <v>274</v>
      </c>
      <c r="H10" s="150"/>
      <c r="I10" s="828"/>
      <c r="J10" s="810">
        <f>$J$6</f>
        <v>190</v>
      </c>
      <c r="K10" s="811">
        <v>1</v>
      </c>
      <c r="L10" s="593">
        <v>10</v>
      </c>
      <c r="M10" s="589">
        <f t="shared" si="2"/>
        <v>19</v>
      </c>
      <c r="N10" s="381">
        <f t="shared" si="0"/>
        <v>19</v>
      </c>
      <c r="O10" s="1051">
        <f>ROUNDDOWN(N10/1,0)</f>
        <v>19</v>
      </c>
      <c r="P10" s="1052"/>
      <c r="Q10" s="1053"/>
      <c r="S10" s="1076">
        <f>O10</f>
        <v>19</v>
      </c>
      <c r="T10" s="1077"/>
      <c r="U10" s="1078"/>
      <c r="V10" s="404">
        <f t="shared" si="3"/>
        <v>19</v>
      </c>
      <c r="W10" s="402">
        <f>V10*10</f>
        <v>190</v>
      </c>
      <c r="X10" s="546" t="s">
        <v>312</v>
      </c>
    </row>
    <row r="11" spans="1:24" s="3" customFormat="1" ht="15.75" customHeight="1" x14ac:dyDescent="0.2">
      <c r="A11" s="19"/>
      <c r="B11" s="766"/>
      <c r="C11" s="627"/>
      <c r="D11" s="48"/>
      <c r="E11" s="85" t="s">
        <v>287</v>
      </c>
      <c r="F11" s="73" t="s">
        <v>273</v>
      </c>
      <c r="G11" s="387" t="s">
        <v>274</v>
      </c>
      <c r="H11" s="72"/>
      <c r="I11" s="829"/>
      <c r="J11" s="837">
        <f>$J$6</f>
        <v>190</v>
      </c>
      <c r="K11" s="838">
        <v>1</v>
      </c>
      <c r="L11" s="594">
        <f>18/0.33</f>
        <v>54.54545454545454</v>
      </c>
      <c r="M11" s="589">
        <f>(J11*K11)/L11</f>
        <v>3.4833333333333338</v>
      </c>
      <c r="N11" s="381">
        <f t="shared" si="0"/>
        <v>4</v>
      </c>
      <c r="O11" s="1051">
        <f>ROUNDDOWN(N11/1,0)</f>
        <v>4</v>
      </c>
      <c r="P11" s="1052"/>
      <c r="Q11" s="1053"/>
      <c r="R11" s="124"/>
      <c r="S11" s="1076">
        <f>O11</f>
        <v>4</v>
      </c>
      <c r="T11" s="1077"/>
      <c r="U11" s="1078"/>
      <c r="V11" s="404">
        <f t="shared" si="3"/>
        <v>4</v>
      </c>
      <c r="W11" s="402">
        <f>V11*18</f>
        <v>72</v>
      </c>
      <c r="X11" s="546" t="s">
        <v>312</v>
      </c>
    </row>
    <row r="12" spans="1:24" ht="18" x14ac:dyDescent="0.2">
      <c r="A12" s="156"/>
      <c r="B12" s="766"/>
      <c r="C12" s="550"/>
      <c r="D12" s="147"/>
      <c r="E12" s="154" t="s">
        <v>295</v>
      </c>
      <c r="F12" s="148" t="s">
        <v>81</v>
      </c>
      <c r="G12" s="387" t="s">
        <v>5</v>
      </c>
      <c r="H12" s="150"/>
      <c r="I12" s="828"/>
      <c r="J12" s="810">
        <f>$J$6</f>
        <v>190</v>
      </c>
      <c r="K12" s="811">
        <v>1</v>
      </c>
      <c r="L12" s="593">
        <v>0.72</v>
      </c>
      <c r="M12" s="589">
        <f t="shared" si="2"/>
        <v>263.88888888888891</v>
      </c>
      <c r="N12" s="381">
        <f t="shared" si="0"/>
        <v>264</v>
      </c>
      <c r="O12" s="1051">
        <f>ROUNDDOWN(N12/1,0)</f>
        <v>264</v>
      </c>
      <c r="P12" s="1052"/>
      <c r="Q12" s="1053"/>
      <c r="S12" s="1076">
        <f>O12</f>
        <v>264</v>
      </c>
      <c r="T12" s="1077"/>
      <c r="U12" s="1078"/>
      <c r="V12" s="404">
        <f t="shared" si="3"/>
        <v>264</v>
      </c>
      <c r="W12" s="402">
        <f>V12*0.72</f>
        <v>190.07999999999998</v>
      </c>
      <c r="X12" s="546" t="s">
        <v>312</v>
      </c>
    </row>
    <row r="13" spans="1:24" x14ac:dyDescent="0.2">
      <c r="A13" s="145"/>
      <c r="B13" s="767"/>
      <c r="C13" s="551"/>
      <c r="D13" s="439"/>
      <c r="E13" s="424" t="s">
        <v>44</v>
      </c>
      <c r="F13" s="425"/>
      <c r="G13" s="426"/>
      <c r="I13" s="830"/>
      <c r="J13" s="814"/>
      <c r="K13" s="815"/>
      <c r="L13" s="595"/>
      <c r="M13" s="590"/>
      <c r="N13" s="428"/>
      <c r="O13" s="1085"/>
      <c r="P13" s="1086"/>
      <c r="Q13" s="1087"/>
      <c r="S13" s="1091"/>
      <c r="T13" s="1092"/>
      <c r="U13" s="1093"/>
      <c r="V13" s="385"/>
      <c r="W13" s="431"/>
      <c r="X13" s="385"/>
    </row>
    <row r="14" spans="1:24" x14ac:dyDescent="0.2">
      <c r="A14" s="157"/>
      <c r="B14" s="766"/>
      <c r="C14" s="550"/>
      <c r="D14" s="147"/>
      <c r="E14" s="154" t="s">
        <v>332</v>
      </c>
      <c r="F14" s="148" t="s">
        <v>276</v>
      </c>
      <c r="G14" s="387" t="s">
        <v>361</v>
      </c>
      <c r="H14" s="150"/>
      <c r="I14" s="828"/>
      <c r="J14" s="810">
        <f t="shared" ref="J14:J25" si="4">$J$6</f>
        <v>190</v>
      </c>
      <c r="K14" s="811">
        <v>1</v>
      </c>
      <c r="L14" s="593">
        <v>50</v>
      </c>
      <c r="M14" s="553">
        <f t="shared" si="2"/>
        <v>3.8</v>
      </c>
      <c r="N14" s="381">
        <f t="shared" si="0"/>
        <v>4</v>
      </c>
      <c r="O14" s="1051">
        <f>ROUNDDOWN(N14/1,0)</f>
        <v>4</v>
      </c>
      <c r="P14" s="1052"/>
      <c r="Q14" s="1053"/>
      <c r="S14" s="1076">
        <f t="shared" ref="S14:S28" si="5">O14</f>
        <v>4</v>
      </c>
      <c r="T14" s="1077"/>
      <c r="U14" s="1078"/>
      <c r="V14" s="404">
        <f t="shared" si="3"/>
        <v>4</v>
      </c>
      <c r="W14" s="402">
        <f t="shared" si="1"/>
        <v>4</v>
      </c>
      <c r="X14" s="546" t="s">
        <v>313</v>
      </c>
    </row>
    <row r="15" spans="1:24" ht="15.75" customHeight="1" x14ac:dyDescent="0.2">
      <c r="A15" s="157"/>
      <c r="B15" s="766"/>
      <c r="C15" s="550"/>
      <c r="D15" s="147"/>
      <c r="E15" s="154" t="s">
        <v>333</v>
      </c>
      <c r="F15" s="148" t="s">
        <v>315</v>
      </c>
      <c r="G15" s="387" t="s">
        <v>277</v>
      </c>
      <c r="H15" s="150"/>
      <c r="I15" s="828"/>
      <c r="J15" s="810">
        <f t="shared" si="4"/>
        <v>190</v>
      </c>
      <c r="K15" s="811">
        <v>1</v>
      </c>
      <c r="L15" s="593">
        <v>5</v>
      </c>
      <c r="M15" s="553">
        <f>(J15*K15)/L15</f>
        <v>38</v>
      </c>
      <c r="N15" s="381">
        <f>ROUNDUP(M15,0)</f>
        <v>38</v>
      </c>
      <c r="O15" s="1051">
        <f>ROUNDDOWN(N15/1,0)</f>
        <v>38</v>
      </c>
      <c r="P15" s="1052"/>
      <c r="Q15" s="1053"/>
      <c r="S15" s="1076">
        <f t="shared" ref="S15:S23" si="6">O15</f>
        <v>38</v>
      </c>
      <c r="T15" s="1077"/>
      <c r="U15" s="1078"/>
      <c r="V15" s="404">
        <f>(S15*1)+U15</f>
        <v>38</v>
      </c>
      <c r="W15" s="402">
        <f>V15</f>
        <v>38</v>
      </c>
      <c r="X15" s="546" t="s">
        <v>314</v>
      </c>
    </row>
    <row r="16" spans="1:24" x14ac:dyDescent="0.2">
      <c r="A16" s="155"/>
      <c r="B16" s="766"/>
      <c r="C16" s="550"/>
      <c r="D16" s="147"/>
      <c r="E16" s="154" t="s">
        <v>342</v>
      </c>
      <c r="F16" s="148" t="s">
        <v>58</v>
      </c>
      <c r="G16" s="387" t="s">
        <v>6</v>
      </c>
      <c r="H16" s="150"/>
      <c r="I16" s="828"/>
      <c r="J16" s="810">
        <f>$J$6</f>
        <v>190</v>
      </c>
      <c r="K16" s="811">
        <v>1</v>
      </c>
      <c r="L16" s="593">
        <v>100</v>
      </c>
      <c r="M16" s="553">
        <f>(J16*K16)/L16</f>
        <v>1.9</v>
      </c>
      <c r="N16" s="381">
        <f>ROUNDUP(M16,0)</f>
        <v>2</v>
      </c>
      <c r="O16" s="432">
        <f>ROUNDDOWN(N16/30,0)</f>
        <v>0</v>
      </c>
      <c r="P16" s="378" t="s">
        <v>193</v>
      </c>
      <c r="Q16" s="433">
        <f>MOD(N16,30)</f>
        <v>2</v>
      </c>
      <c r="S16" s="848">
        <f t="shared" si="6"/>
        <v>0</v>
      </c>
      <c r="T16" s="805" t="s">
        <v>193</v>
      </c>
      <c r="U16" s="849">
        <f>Q16</f>
        <v>2</v>
      </c>
      <c r="V16" s="404">
        <f>(S16*30)+U16</f>
        <v>2</v>
      </c>
      <c r="W16" s="402">
        <f>V16</f>
        <v>2</v>
      </c>
      <c r="X16" s="546" t="s">
        <v>308</v>
      </c>
    </row>
    <row r="17" spans="1:24" x14ac:dyDescent="0.2">
      <c r="A17" s="155"/>
      <c r="B17" s="766"/>
      <c r="C17" s="550"/>
      <c r="D17" s="147"/>
      <c r="E17" s="154" t="s">
        <v>343</v>
      </c>
      <c r="F17" s="148" t="s">
        <v>57</v>
      </c>
      <c r="G17" s="387" t="s">
        <v>6</v>
      </c>
      <c r="H17" s="150"/>
      <c r="I17" s="831"/>
      <c r="J17" s="810">
        <f>$J$6</f>
        <v>190</v>
      </c>
      <c r="K17" s="811">
        <v>1</v>
      </c>
      <c r="L17" s="593">
        <v>50</v>
      </c>
      <c r="M17" s="553">
        <f>(J17*K17)/L17</f>
        <v>3.8</v>
      </c>
      <c r="N17" s="381">
        <f>ROUNDUP(M17,0)</f>
        <v>4</v>
      </c>
      <c r="O17" s="432">
        <f>ROUNDDOWN(N17/56,0)</f>
        <v>0</v>
      </c>
      <c r="P17" s="378" t="s">
        <v>193</v>
      </c>
      <c r="Q17" s="433">
        <f>MOD(N17,56)</f>
        <v>4</v>
      </c>
      <c r="S17" s="848">
        <f t="shared" si="6"/>
        <v>0</v>
      </c>
      <c r="T17" s="805" t="s">
        <v>193</v>
      </c>
      <c r="U17" s="849">
        <f>Q17</f>
        <v>4</v>
      </c>
      <c r="V17" s="404">
        <f>(S17*56)+U17</f>
        <v>4</v>
      </c>
      <c r="W17" s="402">
        <f>V17</f>
        <v>4</v>
      </c>
      <c r="X17" s="546" t="s">
        <v>308</v>
      </c>
    </row>
    <row r="18" spans="1:24" x14ac:dyDescent="0.2">
      <c r="A18" s="155"/>
      <c r="B18" s="766"/>
      <c r="C18" s="550"/>
      <c r="D18" s="147"/>
      <c r="E18" s="154" t="s">
        <v>344</v>
      </c>
      <c r="F18" s="148" t="s">
        <v>267</v>
      </c>
      <c r="G18" s="387" t="s">
        <v>6</v>
      </c>
      <c r="H18" s="150"/>
      <c r="I18" s="831"/>
      <c r="J18" s="839">
        <f>$J$6</f>
        <v>190</v>
      </c>
      <c r="K18" s="811">
        <v>1</v>
      </c>
      <c r="L18" s="593">
        <v>10</v>
      </c>
      <c r="M18" s="553">
        <f>(J18*K18)/L18</f>
        <v>19</v>
      </c>
      <c r="N18" s="381">
        <f>ROUNDUP(M18,0)</f>
        <v>19</v>
      </c>
      <c r="O18" s="1051">
        <f t="shared" ref="O18" si="7">ROUNDDOWN(N18/1,0)</f>
        <v>19</v>
      </c>
      <c r="P18" s="1052"/>
      <c r="Q18" s="1053"/>
      <c r="S18" s="1076">
        <f t="shared" si="6"/>
        <v>19</v>
      </c>
      <c r="T18" s="1077"/>
      <c r="U18" s="1078"/>
      <c r="V18" s="404">
        <f>(S18*48)+U18</f>
        <v>912</v>
      </c>
      <c r="W18" s="402">
        <f>V18</f>
        <v>912</v>
      </c>
      <c r="X18" s="546" t="s">
        <v>308</v>
      </c>
    </row>
    <row r="19" spans="1:24" x14ac:dyDescent="0.2">
      <c r="A19" s="157"/>
      <c r="B19" s="766"/>
      <c r="C19" s="550"/>
      <c r="D19" s="147"/>
      <c r="E19" s="154" t="s">
        <v>345</v>
      </c>
      <c r="F19" s="148" t="s">
        <v>119</v>
      </c>
      <c r="G19" s="387" t="s">
        <v>6</v>
      </c>
      <c r="H19" s="150"/>
      <c r="I19" s="828"/>
      <c r="J19" s="810">
        <f t="shared" si="4"/>
        <v>190</v>
      </c>
      <c r="K19" s="811">
        <v>1</v>
      </c>
      <c r="L19" s="593">
        <v>50</v>
      </c>
      <c r="M19" s="553">
        <f>(J19*K19)/L19</f>
        <v>3.8</v>
      </c>
      <c r="N19" s="381">
        <f>ROUNDUP(M19,0)</f>
        <v>4</v>
      </c>
      <c r="O19" s="432">
        <f>ROUNDDOWN(N19/24,0)</f>
        <v>0</v>
      </c>
      <c r="P19" s="378" t="s">
        <v>193</v>
      </c>
      <c r="Q19" s="433">
        <f>MOD(N19,24)</f>
        <v>4</v>
      </c>
      <c r="S19" s="848">
        <f t="shared" si="6"/>
        <v>0</v>
      </c>
      <c r="T19" s="805" t="s">
        <v>193</v>
      </c>
      <c r="U19" s="849">
        <f>Q19</f>
        <v>4</v>
      </c>
      <c r="V19" s="404">
        <f>(S19*24)+U19</f>
        <v>4</v>
      </c>
      <c r="W19" s="402">
        <f>V19</f>
        <v>4</v>
      </c>
      <c r="X19" s="546" t="s">
        <v>308</v>
      </c>
    </row>
    <row r="20" spans="1:24" x14ac:dyDescent="0.2">
      <c r="A20" s="157"/>
      <c r="B20" s="766"/>
      <c r="C20" s="550"/>
      <c r="D20" s="147"/>
      <c r="E20" s="154" t="s">
        <v>346</v>
      </c>
      <c r="F20" s="148" t="s">
        <v>120</v>
      </c>
      <c r="G20" s="387" t="s">
        <v>6</v>
      </c>
      <c r="H20" s="150"/>
      <c r="I20" s="828"/>
      <c r="J20" s="810">
        <f t="shared" si="4"/>
        <v>190</v>
      </c>
      <c r="K20" s="811">
        <v>1</v>
      </c>
      <c r="L20" s="593">
        <v>25</v>
      </c>
      <c r="M20" s="553">
        <f t="shared" si="2"/>
        <v>7.6</v>
      </c>
      <c r="N20" s="381">
        <f t="shared" si="0"/>
        <v>8</v>
      </c>
      <c r="O20" s="432">
        <f>ROUNDDOWN(N20/56,0)</f>
        <v>0</v>
      </c>
      <c r="P20" s="378" t="s">
        <v>193</v>
      </c>
      <c r="Q20" s="433">
        <f>MOD(N20,56)</f>
        <v>8</v>
      </c>
      <c r="R20" s="386"/>
      <c r="S20" s="848">
        <f t="shared" si="6"/>
        <v>0</v>
      </c>
      <c r="T20" s="805" t="s">
        <v>193</v>
      </c>
      <c r="U20" s="849">
        <f>Q20</f>
        <v>8</v>
      </c>
      <c r="V20" s="404">
        <f>(S20*56)+U20</f>
        <v>8</v>
      </c>
      <c r="W20" s="402">
        <f t="shared" si="1"/>
        <v>8</v>
      </c>
      <c r="X20" s="546" t="s">
        <v>308</v>
      </c>
    </row>
    <row r="21" spans="1:24" x14ac:dyDescent="0.2">
      <c r="A21" s="157"/>
      <c r="B21" s="766"/>
      <c r="C21" s="550"/>
      <c r="D21" s="147"/>
      <c r="E21" s="154" t="s">
        <v>347</v>
      </c>
      <c r="F21" s="148" t="s">
        <v>121</v>
      </c>
      <c r="G21" s="387" t="s">
        <v>6</v>
      </c>
      <c r="H21" s="150"/>
      <c r="I21" s="828"/>
      <c r="J21" s="810">
        <f t="shared" si="4"/>
        <v>190</v>
      </c>
      <c r="K21" s="811">
        <v>1</v>
      </c>
      <c r="L21" s="593">
        <v>30</v>
      </c>
      <c r="M21" s="553">
        <f t="shared" si="2"/>
        <v>6.333333333333333</v>
      </c>
      <c r="N21" s="381">
        <f t="shared" si="0"/>
        <v>7</v>
      </c>
      <c r="O21" s="432">
        <f>ROUNDDOWN(N21/30,0)</f>
        <v>0</v>
      </c>
      <c r="P21" s="378" t="s">
        <v>193</v>
      </c>
      <c r="Q21" s="433">
        <f>MOD(N21,30)</f>
        <v>7</v>
      </c>
      <c r="S21" s="848">
        <f t="shared" si="6"/>
        <v>0</v>
      </c>
      <c r="T21" s="805" t="s">
        <v>193</v>
      </c>
      <c r="U21" s="849">
        <f>Q21</f>
        <v>7</v>
      </c>
      <c r="V21" s="404">
        <f>(S21*30)+U21</f>
        <v>7</v>
      </c>
      <c r="W21" s="402">
        <f t="shared" si="1"/>
        <v>7</v>
      </c>
      <c r="X21" s="546" t="s">
        <v>308</v>
      </c>
    </row>
    <row r="22" spans="1:24" x14ac:dyDescent="0.2">
      <c r="A22" s="157"/>
      <c r="B22" s="766"/>
      <c r="C22" s="633"/>
      <c r="D22" s="567"/>
      <c r="E22" s="568" t="s">
        <v>348</v>
      </c>
      <c r="F22" s="568" t="s">
        <v>122</v>
      </c>
      <c r="G22" s="591" t="s">
        <v>6</v>
      </c>
      <c r="H22" s="576"/>
      <c r="I22" s="828"/>
      <c r="J22" s="840">
        <f t="shared" si="4"/>
        <v>190</v>
      </c>
      <c r="K22" s="841">
        <v>1</v>
      </c>
      <c r="L22" s="612">
        <v>15</v>
      </c>
      <c r="M22" s="373">
        <f t="shared" si="2"/>
        <v>12.666666666666666</v>
      </c>
      <c r="N22" s="381">
        <f t="shared" si="0"/>
        <v>13</v>
      </c>
      <c r="O22" s="432">
        <f>ROUNDDOWN(N22/56,0)</f>
        <v>0</v>
      </c>
      <c r="P22" s="378" t="s">
        <v>193</v>
      </c>
      <c r="Q22" s="433">
        <f>MOD(N22,56)</f>
        <v>13</v>
      </c>
      <c r="S22" s="848">
        <f t="shared" si="6"/>
        <v>0</v>
      </c>
      <c r="T22" s="805" t="s">
        <v>193</v>
      </c>
      <c r="U22" s="849">
        <f>Q22</f>
        <v>13</v>
      </c>
      <c r="V22" s="404">
        <f>(S22*56)+U22</f>
        <v>13</v>
      </c>
      <c r="W22" s="402">
        <f t="shared" si="1"/>
        <v>13</v>
      </c>
      <c r="X22" s="546" t="s">
        <v>308</v>
      </c>
    </row>
    <row r="23" spans="1:24" x14ac:dyDescent="0.2">
      <c r="A23" s="157"/>
      <c r="B23" s="766"/>
      <c r="C23" s="633"/>
      <c r="D23" s="567"/>
      <c r="E23" s="568" t="s">
        <v>349</v>
      </c>
      <c r="F23" s="568" t="s">
        <v>84</v>
      </c>
      <c r="G23" s="591" t="s">
        <v>3</v>
      </c>
      <c r="H23" s="576"/>
      <c r="I23" s="828">
        <v>3</v>
      </c>
      <c r="J23" s="840">
        <f t="shared" si="4"/>
        <v>190</v>
      </c>
      <c r="K23" s="842">
        <v>1</v>
      </c>
      <c r="L23" s="612">
        <f>17/I23</f>
        <v>5.666666666666667</v>
      </c>
      <c r="M23" s="373">
        <f t="shared" si="2"/>
        <v>33.529411764705884</v>
      </c>
      <c r="N23" s="381">
        <f t="shared" si="0"/>
        <v>34</v>
      </c>
      <c r="O23" s="432">
        <f>ROUNDDOWN(N23/48,0)</f>
        <v>0</v>
      </c>
      <c r="P23" s="378" t="s">
        <v>193</v>
      </c>
      <c r="Q23" s="433">
        <f>MOD(N23,48)</f>
        <v>34</v>
      </c>
      <c r="S23" s="848">
        <f t="shared" si="6"/>
        <v>0</v>
      </c>
      <c r="T23" s="805" t="s">
        <v>193</v>
      </c>
      <c r="U23" s="849">
        <f>Q23</f>
        <v>34</v>
      </c>
      <c r="V23" s="404">
        <f>(S23*48)+U23</f>
        <v>34</v>
      </c>
      <c r="W23" s="402">
        <f t="shared" si="1"/>
        <v>34</v>
      </c>
      <c r="X23" s="546" t="s">
        <v>3</v>
      </c>
    </row>
    <row r="24" spans="1:24" x14ac:dyDescent="0.2">
      <c r="A24" s="157"/>
      <c r="B24" s="766"/>
      <c r="C24" s="633"/>
      <c r="D24" s="567"/>
      <c r="E24" s="568" t="s">
        <v>334</v>
      </c>
      <c r="F24" s="568" t="s">
        <v>92</v>
      </c>
      <c r="G24" s="591" t="s">
        <v>190</v>
      </c>
      <c r="H24" s="576"/>
      <c r="I24" s="828">
        <v>7</v>
      </c>
      <c r="J24" s="840">
        <f t="shared" si="4"/>
        <v>190</v>
      </c>
      <c r="K24" s="842">
        <v>1</v>
      </c>
      <c r="L24" s="612">
        <f>600/I24</f>
        <v>85.714285714285708</v>
      </c>
      <c r="M24" s="373">
        <f t="shared" si="2"/>
        <v>2.2166666666666668</v>
      </c>
      <c r="N24" s="381">
        <f t="shared" si="0"/>
        <v>3</v>
      </c>
      <c r="O24" s="1051">
        <f t="shared" ref="O24:O32" si="8">ROUNDDOWN(N24/1,0)</f>
        <v>3</v>
      </c>
      <c r="P24" s="1052"/>
      <c r="Q24" s="1053"/>
      <c r="S24" s="1076">
        <f t="shared" si="5"/>
        <v>3</v>
      </c>
      <c r="T24" s="1077"/>
      <c r="U24" s="1078"/>
      <c r="V24" s="404">
        <f t="shared" si="3"/>
        <v>3</v>
      </c>
      <c r="W24" s="402">
        <f t="shared" si="1"/>
        <v>3</v>
      </c>
      <c r="X24" s="546" t="s">
        <v>261</v>
      </c>
    </row>
    <row r="25" spans="1:24" x14ac:dyDescent="0.2">
      <c r="A25" s="157"/>
      <c r="B25" s="766"/>
      <c r="C25" s="633"/>
      <c r="D25" s="567"/>
      <c r="E25" s="569" t="s">
        <v>335</v>
      </c>
      <c r="F25" s="568" t="s">
        <v>59</v>
      </c>
      <c r="G25" s="591" t="s">
        <v>190</v>
      </c>
      <c r="H25" s="576"/>
      <c r="I25" s="828">
        <v>1</v>
      </c>
      <c r="J25" s="840">
        <f t="shared" si="4"/>
        <v>190</v>
      </c>
      <c r="K25" s="842">
        <v>1</v>
      </c>
      <c r="L25" s="612">
        <f>300/I25</f>
        <v>300</v>
      </c>
      <c r="M25" s="373">
        <f t="shared" si="2"/>
        <v>0.6333333333333333</v>
      </c>
      <c r="N25" s="381">
        <f t="shared" si="0"/>
        <v>1</v>
      </c>
      <c r="O25" s="1051">
        <f t="shared" si="8"/>
        <v>1</v>
      </c>
      <c r="P25" s="1052"/>
      <c r="Q25" s="1053"/>
      <c r="S25" s="1076">
        <f t="shared" si="5"/>
        <v>1</v>
      </c>
      <c r="T25" s="1077"/>
      <c r="U25" s="1078"/>
      <c r="V25" s="404">
        <f t="shared" si="3"/>
        <v>1</v>
      </c>
      <c r="W25" s="402">
        <f t="shared" si="1"/>
        <v>1</v>
      </c>
      <c r="X25" s="546" t="s">
        <v>261</v>
      </c>
    </row>
    <row r="26" spans="1:24" x14ac:dyDescent="0.2">
      <c r="A26" s="157"/>
      <c r="B26" s="767"/>
      <c r="C26" s="634"/>
      <c r="D26" s="570"/>
      <c r="E26" s="571" t="s">
        <v>45</v>
      </c>
      <c r="F26" s="572"/>
      <c r="G26" s="574"/>
      <c r="H26" s="588"/>
      <c r="I26" s="830"/>
      <c r="J26" s="843"/>
      <c r="K26" s="844"/>
      <c r="L26" s="595"/>
      <c r="M26" s="427"/>
      <c r="N26" s="428"/>
      <c r="O26" s="1085"/>
      <c r="P26" s="1086"/>
      <c r="Q26" s="1087"/>
      <c r="S26" s="1091"/>
      <c r="T26" s="1092"/>
      <c r="U26" s="1093"/>
      <c r="V26" s="385"/>
      <c r="W26" s="431"/>
      <c r="X26" s="385"/>
    </row>
    <row r="27" spans="1:24" x14ac:dyDescent="0.2">
      <c r="A27" s="159"/>
      <c r="B27" s="766"/>
      <c r="C27" s="633"/>
      <c r="D27" s="567"/>
      <c r="E27" s="568" t="s">
        <v>337</v>
      </c>
      <c r="F27" s="568" t="s">
        <v>92</v>
      </c>
      <c r="G27" s="591" t="s">
        <v>190</v>
      </c>
      <c r="H27" s="576"/>
      <c r="I27" s="828">
        <v>15</v>
      </c>
      <c r="J27" s="840">
        <f t="shared" ref="J27:J32" si="9">$J$6</f>
        <v>190</v>
      </c>
      <c r="K27" s="845">
        <v>1</v>
      </c>
      <c r="L27" s="593">
        <f>600/I27</f>
        <v>40</v>
      </c>
      <c r="M27" s="373">
        <f t="shared" si="2"/>
        <v>4.75</v>
      </c>
      <c r="N27" s="381">
        <f t="shared" si="0"/>
        <v>5</v>
      </c>
      <c r="O27" s="1051">
        <f t="shared" si="8"/>
        <v>5</v>
      </c>
      <c r="P27" s="1052"/>
      <c r="Q27" s="1053"/>
      <c r="S27" s="1076">
        <f t="shared" si="5"/>
        <v>5</v>
      </c>
      <c r="T27" s="1077"/>
      <c r="U27" s="1078"/>
      <c r="V27" s="404">
        <f t="shared" si="3"/>
        <v>5</v>
      </c>
      <c r="W27" s="402">
        <f t="shared" si="1"/>
        <v>5</v>
      </c>
      <c r="X27" s="546" t="s">
        <v>261</v>
      </c>
    </row>
    <row r="28" spans="1:24" x14ac:dyDescent="0.2">
      <c r="A28" s="159"/>
      <c r="B28" s="766"/>
      <c r="C28" s="633"/>
      <c r="D28" s="567"/>
      <c r="E28" s="568" t="s">
        <v>336</v>
      </c>
      <c r="F28" s="568" t="s">
        <v>59</v>
      </c>
      <c r="G28" s="591" t="s">
        <v>190</v>
      </c>
      <c r="H28" s="576"/>
      <c r="I28" s="828">
        <v>15</v>
      </c>
      <c r="J28" s="840">
        <f t="shared" si="9"/>
        <v>190</v>
      </c>
      <c r="K28" s="845">
        <v>1</v>
      </c>
      <c r="L28" s="594">
        <f>300/I28</f>
        <v>20</v>
      </c>
      <c r="M28" s="373">
        <f t="shared" si="2"/>
        <v>9.5</v>
      </c>
      <c r="N28" s="381">
        <f t="shared" si="0"/>
        <v>10</v>
      </c>
      <c r="O28" s="1051">
        <f t="shared" si="8"/>
        <v>10</v>
      </c>
      <c r="P28" s="1052"/>
      <c r="Q28" s="1053"/>
      <c r="S28" s="1076">
        <f t="shared" si="5"/>
        <v>10</v>
      </c>
      <c r="T28" s="1077"/>
      <c r="U28" s="1078"/>
      <c r="V28" s="404">
        <f t="shared" si="3"/>
        <v>10</v>
      </c>
      <c r="W28" s="402">
        <f t="shared" si="1"/>
        <v>10</v>
      </c>
      <c r="X28" s="546" t="s">
        <v>261</v>
      </c>
    </row>
    <row r="29" spans="1:24" x14ac:dyDescent="0.2">
      <c r="A29" s="159"/>
      <c r="B29" s="766"/>
      <c r="C29" s="633"/>
      <c r="D29" s="567"/>
      <c r="E29" s="568" t="s">
        <v>338</v>
      </c>
      <c r="F29" s="568" t="s">
        <v>93</v>
      </c>
      <c r="G29" s="591" t="s">
        <v>190</v>
      </c>
      <c r="H29" s="576"/>
      <c r="I29" s="828">
        <v>15</v>
      </c>
      <c r="J29" s="840">
        <f t="shared" si="9"/>
        <v>190</v>
      </c>
      <c r="K29" s="845">
        <v>1</v>
      </c>
      <c r="L29" s="593">
        <f>625/I29</f>
        <v>41.666666666666664</v>
      </c>
      <c r="M29" s="373">
        <f t="shared" si="2"/>
        <v>4.5600000000000005</v>
      </c>
      <c r="N29" s="381">
        <f t="shared" si="0"/>
        <v>5</v>
      </c>
      <c r="O29" s="1051">
        <f t="shared" si="8"/>
        <v>5</v>
      </c>
      <c r="P29" s="1052"/>
      <c r="Q29" s="1053"/>
      <c r="S29" s="1076">
        <f>O29</f>
        <v>5</v>
      </c>
      <c r="T29" s="1077"/>
      <c r="U29" s="1078"/>
      <c r="V29" s="404">
        <f t="shared" si="3"/>
        <v>5</v>
      </c>
      <c r="W29" s="402">
        <f t="shared" si="1"/>
        <v>5</v>
      </c>
      <c r="X29" s="546" t="s">
        <v>261</v>
      </c>
    </row>
    <row r="30" spans="1:24" x14ac:dyDescent="0.2">
      <c r="A30" s="159"/>
      <c r="B30" s="766"/>
      <c r="C30" s="633"/>
      <c r="D30" s="567"/>
      <c r="E30" s="575" t="s">
        <v>278</v>
      </c>
      <c r="F30" s="568" t="s">
        <v>94</v>
      </c>
      <c r="G30" s="591" t="s">
        <v>3</v>
      </c>
      <c r="H30" s="576"/>
      <c r="I30" s="828">
        <v>15</v>
      </c>
      <c r="J30" s="840">
        <f t="shared" si="9"/>
        <v>190</v>
      </c>
      <c r="K30" s="845">
        <v>1</v>
      </c>
      <c r="L30" s="593">
        <f>16.7/I30</f>
        <v>1.1133333333333333</v>
      </c>
      <c r="M30" s="373">
        <f t="shared" si="2"/>
        <v>170.65868263473055</v>
      </c>
      <c r="N30" s="381">
        <f t="shared" si="0"/>
        <v>171</v>
      </c>
      <c r="O30" s="432">
        <f>ROUNDDOWN(N30/48,0)</f>
        <v>3</v>
      </c>
      <c r="P30" s="378" t="s">
        <v>193</v>
      </c>
      <c r="Q30" s="433">
        <f>MOD(N30,48)</f>
        <v>27</v>
      </c>
      <c r="S30" s="848">
        <f>O30</f>
        <v>3</v>
      </c>
      <c r="T30" s="805" t="s">
        <v>193</v>
      </c>
      <c r="U30" s="849">
        <f>Q30</f>
        <v>27</v>
      </c>
      <c r="V30" s="404">
        <f>(S30*48)+U30</f>
        <v>171</v>
      </c>
      <c r="W30" s="402">
        <f t="shared" si="1"/>
        <v>171</v>
      </c>
      <c r="X30" s="546" t="s">
        <v>3</v>
      </c>
    </row>
    <row r="31" spans="1:24" x14ac:dyDescent="0.2">
      <c r="A31" s="159"/>
      <c r="B31" s="766"/>
      <c r="C31" s="633"/>
      <c r="D31" s="567"/>
      <c r="E31" s="575" t="s">
        <v>340</v>
      </c>
      <c r="F31" s="577" t="s">
        <v>63</v>
      </c>
      <c r="G31" s="591" t="s">
        <v>190</v>
      </c>
      <c r="H31" s="576"/>
      <c r="I31" s="828">
        <v>15</v>
      </c>
      <c r="J31" s="840">
        <f t="shared" si="9"/>
        <v>190</v>
      </c>
      <c r="K31" s="845">
        <v>1</v>
      </c>
      <c r="L31" s="593">
        <f>675/I31</f>
        <v>45</v>
      </c>
      <c r="M31" s="373">
        <f t="shared" si="2"/>
        <v>4.2222222222222223</v>
      </c>
      <c r="N31" s="381">
        <f t="shared" si="0"/>
        <v>5</v>
      </c>
      <c r="O31" s="1051">
        <f t="shared" si="8"/>
        <v>5</v>
      </c>
      <c r="P31" s="1052"/>
      <c r="Q31" s="1053"/>
      <c r="S31" s="1076">
        <f>O31</f>
        <v>5</v>
      </c>
      <c r="T31" s="1077"/>
      <c r="U31" s="1078"/>
      <c r="V31" s="404">
        <f t="shared" si="3"/>
        <v>5</v>
      </c>
      <c r="W31" s="402">
        <f t="shared" si="1"/>
        <v>5</v>
      </c>
      <c r="X31" s="546" t="s">
        <v>261</v>
      </c>
    </row>
    <row r="32" spans="1:24" x14ac:dyDescent="0.2">
      <c r="A32" s="159"/>
      <c r="B32" s="766"/>
      <c r="C32" s="633"/>
      <c r="D32" s="567"/>
      <c r="E32" s="575" t="s">
        <v>339</v>
      </c>
      <c r="F32" s="577" t="s">
        <v>64</v>
      </c>
      <c r="G32" s="591" t="s">
        <v>190</v>
      </c>
      <c r="H32" s="576"/>
      <c r="I32" s="828">
        <v>15</v>
      </c>
      <c r="J32" s="840">
        <f t="shared" si="9"/>
        <v>190</v>
      </c>
      <c r="K32" s="845">
        <v>1</v>
      </c>
      <c r="L32" s="593">
        <f>340/I32</f>
        <v>22.666666666666668</v>
      </c>
      <c r="M32" s="373">
        <f t="shared" si="2"/>
        <v>8.382352941176471</v>
      </c>
      <c r="N32" s="381">
        <f t="shared" si="0"/>
        <v>9</v>
      </c>
      <c r="O32" s="1051">
        <f t="shared" si="8"/>
        <v>9</v>
      </c>
      <c r="P32" s="1052"/>
      <c r="Q32" s="1053"/>
      <c r="S32" s="1076">
        <f>O32</f>
        <v>9</v>
      </c>
      <c r="T32" s="1077"/>
      <c r="U32" s="1078"/>
      <c r="V32" s="404">
        <f t="shared" si="3"/>
        <v>9</v>
      </c>
      <c r="W32" s="402">
        <f t="shared" si="1"/>
        <v>9</v>
      </c>
      <c r="X32" s="546" t="s">
        <v>261</v>
      </c>
    </row>
    <row r="33" spans="2:24" x14ac:dyDescent="0.2">
      <c r="B33" s="767"/>
      <c r="C33" s="634"/>
      <c r="D33" s="570"/>
      <c r="E33" s="578" t="s">
        <v>280</v>
      </c>
      <c r="F33" s="572"/>
      <c r="G33" s="574"/>
      <c r="H33" s="588"/>
      <c r="I33" s="830"/>
      <c r="J33" s="843"/>
      <c r="K33" s="844"/>
      <c r="L33" s="595"/>
      <c r="M33" s="427"/>
      <c r="N33" s="428"/>
      <c r="S33" s="407"/>
      <c r="T33" s="406"/>
      <c r="U33" s="850"/>
      <c r="V33" s="385">
        <f>(S33*48)+U33</f>
        <v>0</v>
      </c>
      <c r="W33" s="431"/>
      <c r="X33" s="385"/>
    </row>
    <row r="34" spans="2:24" x14ac:dyDescent="0.2">
      <c r="B34" s="766"/>
      <c r="C34" s="633"/>
      <c r="D34" s="567"/>
      <c r="E34" s="579" t="s">
        <v>341</v>
      </c>
      <c r="F34" s="1026" t="s">
        <v>412</v>
      </c>
      <c r="G34" s="592" t="s">
        <v>198</v>
      </c>
      <c r="H34" s="580"/>
      <c r="I34" s="828"/>
      <c r="J34" s="840">
        <f>$J$6</f>
        <v>190</v>
      </c>
      <c r="K34" s="845">
        <v>1</v>
      </c>
      <c r="L34" s="613">
        <v>45</v>
      </c>
      <c r="M34" s="373">
        <f t="shared" si="2"/>
        <v>4.2222222222222223</v>
      </c>
      <c r="N34" s="381">
        <f t="shared" si="0"/>
        <v>5</v>
      </c>
      <c r="O34" s="1051">
        <f t="shared" ref="O34:O42" si="10">ROUNDDOWN(N34/1,0)</f>
        <v>5</v>
      </c>
      <c r="P34" s="1052"/>
      <c r="Q34" s="1053"/>
      <c r="S34" s="1076">
        <f>O34</f>
        <v>5</v>
      </c>
      <c r="T34" s="1077"/>
      <c r="U34" s="1078"/>
      <c r="V34" s="404">
        <f>(S34*1)+U34</f>
        <v>5</v>
      </c>
      <c r="W34" s="402">
        <f>V34</f>
        <v>5</v>
      </c>
      <c r="X34" s="546" t="s">
        <v>316</v>
      </c>
    </row>
    <row r="35" spans="2:24" x14ac:dyDescent="0.2">
      <c r="B35" s="766"/>
      <c r="C35" s="633"/>
      <c r="D35" s="567"/>
      <c r="E35" s="581" t="s">
        <v>363</v>
      </c>
      <c r="F35" s="582" t="s">
        <v>73</v>
      </c>
      <c r="G35" s="592" t="s">
        <v>198</v>
      </c>
      <c r="H35" s="580"/>
      <c r="I35" s="828"/>
      <c r="J35" s="840">
        <f>$J$6</f>
        <v>190</v>
      </c>
      <c r="K35" s="845">
        <v>1</v>
      </c>
      <c r="L35" s="593">
        <v>90</v>
      </c>
      <c r="M35" s="373">
        <f t="shared" si="2"/>
        <v>2.1111111111111112</v>
      </c>
      <c r="N35" s="381">
        <f t="shared" si="0"/>
        <v>3</v>
      </c>
      <c r="O35" s="1051">
        <f t="shared" si="10"/>
        <v>3</v>
      </c>
      <c r="P35" s="1052"/>
      <c r="Q35" s="1053"/>
      <c r="S35" s="1076">
        <f>O35</f>
        <v>3</v>
      </c>
      <c r="T35" s="1077"/>
      <c r="U35" s="1078"/>
      <c r="V35" s="404">
        <f>(S35*1)+U35</f>
        <v>3</v>
      </c>
      <c r="W35" s="402">
        <f>V35</f>
        <v>3</v>
      </c>
      <c r="X35" s="546" t="s">
        <v>316</v>
      </c>
    </row>
    <row r="36" spans="2:24" x14ac:dyDescent="0.2">
      <c r="B36" s="766"/>
      <c r="C36" s="633"/>
      <c r="D36" s="567"/>
      <c r="E36" s="581" t="s">
        <v>364</v>
      </c>
      <c r="F36" s="582" t="s">
        <v>77</v>
      </c>
      <c r="G36" s="592" t="s">
        <v>198</v>
      </c>
      <c r="H36" s="580"/>
      <c r="I36" s="828"/>
      <c r="J36" s="840">
        <f>$J$6</f>
        <v>190</v>
      </c>
      <c r="K36" s="845">
        <v>1</v>
      </c>
      <c r="L36" s="613">
        <v>31.5</v>
      </c>
      <c r="M36" s="373">
        <f t="shared" si="2"/>
        <v>6.0317460317460316</v>
      </c>
      <c r="N36" s="381">
        <f t="shared" si="0"/>
        <v>7</v>
      </c>
      <c r="O36" s="1051">
        <f t="shared" si="10"/>
        <v>7</v>
      </c>
      <c r="P36" s="1052"/>
      <c r="Q36" s="1053"/>
      <c r="S36" s="1076">
        <f>O36</f>
        <v>7</v>
      </c>
      <c r="T36" s="1077"/>
      <c r="U36" s="1078"/>
      <c r="V36" s="404">
        <f>(S36*1)+U36</f>
        <v>7</v>
      </c>
      <c r="W36" s="402">
        <f>V36</f>
        <v>7</v>
      </c>
      <c r="X36" s="546" t="s">
        <v>316</v>
      </c>
    </row>
    <row r="37" spans="2:24" x14ac:dyDescent="0.2">
      <c r="B37" s="767"/>
      <c r="C37" s="634"/>
      <c r="D37" s="570"/>
      <c r="E37" s="571" t="s">
        <v>281</v>
      </c>
      <c r="F37" s="572"/>
      <c r="G37" s="574"/>
      <c r="H37" s="588"/>
      <c r="I37" s="830"/>
      <c r="J37" s="843"/>
      <c r="K37" s="844"/>
      <c r="L37" s="595"/>
      <c r="M37" s="427"/>
      <c r="N37" s="428"/>
      <c r="S37" s="407"/>
      <c r="T37" s="406"/>
      <c r="U37" s="850"/>
      <c r="V37" s="385"/>
      <c r="W37" s="431"/>
      <c r="X37" s="385"/>
    </row>
    <row r="38" spans="2:24" x14ac:dyDescent="0.2">
      <c r="B38" s="766"/>
      <c r="C38" s="633"/>
      <c r="D38" s="567"/>
      <c r="E38" s="568" t="s">
        <v>350</v>
      </c>
      <c r="F38" s="568" t="s">
        <v>95</v>
      </c>
      <c r="G38" s="591" t="s">
        <v>190</v>
      </c>
      <c r="H38" s="576"/>
      <c r="I38" s="828">
        <v>10</v>
      </c>
      <c r="J38" s="840">
        <f t="shared" ref="J38:J43" si="11">$J$6</f>
        <v>190</v>
      </c>
      <c r="K38" s="845">
        <v>1</v>
      </c>
      <c r="L38" s="593">
        <f>500/I38</f>
        <v>50</v>
      </c>
      <c r="M38" s="373">
        <f t="shared" si="2"/>
        <v>3.8</v>
      </c>
      <c r="N38" s="381">
        <f t="shared" si="0"/>
        <v>4</v>
      </c>
      <c r="O38" s="1051">
        <f t="shared" si="10"/>
        <v>4</v>
      </c>
      <c r="P38" s="1052"/>
      <c r="Q38" s="1053"/>
      <c r="S38" s="1076">
        <f t="shared" ref="S38:S43" si="12">O38</f>
        <v>4</v>
      </c>
      <c r="T38" s="1077"/>
      <c r="U38" s="1078"/>
      <c r="V38" s="404">
        <f>(S38*1)+U38</f>
        <v>4</v>
      </c>
      <c r="W38" s="402">
        <f t="shared" si="1"/>
        <v>4</v>
      </c>
      <c r="X38" s="546" t="s">
        <v>261</v>
      </c>
    </row>
    <row r="39" spans="2:24" x14ac:dyDescent="0.2">
      <c r="B39" s="766"/>
      <c r="C39" s="633"/>
      <c r="D39" s="567"/>
      <c r="E39" s="568" t="s">
        <v>351</v>
      </c>
      <c r="F39" s="568" t="s">
        <v>60</v>
      </c>
      <c r="G39" s="591" t="s">
        <v>190</v>
      </c>
      <c r="H39" s="576"/>
      <c r="I39" s="828">
        <v>10</v>
      </c>
      <c r="J39" s="840">
        <f t="shared" si="11"/>
        <v>190</v>
      </c>
      <c r="K39" s="845">
        <v>1</v>
      </c>
      <c r="L39" s="593">
        <f>250/I39</f>
        <v>25</v>
      </c>
      <c r="M39" s="373">
        <f t="shared" si="2"/>
        <v>7.6</v>
      </c>
      <c r="N39" s="381">
        <f t="shared" si="0"/>
        <v>8</v>
      </c>
      <c r="O39" s="1051">
        <f t="shared" si="10"/>
        <v>8</v>
      </c>
      <c r="P39" s="1052"/>
      <c r="Q39" s="1053"/>
      <c r="S39" s="1076">
        <f t="shared" si="12"/>
        <v>8</v>
      </c>
      <c r="T39" s="1077"/>
      <c r="U39" s="1078"/>
      <c r="V39" s="404">
        <f>(S39*1)+U39</f>
        <v>8</v>
      </c>
      <c r="W39" s="402">
        <f t="shared" si="1"/>
        <v>8</v>
      </c>
      <c r="X39" s="546" t="s">
        <v>261</v>
      </c>
    </row>
    <row r="40" spans="2:24" x14ac:dyDescent="0.2">
      <c r="B40" s="766"/>
      <c r="C40" s="633"/>
      <c r="D40" s="567"/>
      <c r="E40" s="568" t="s">
        <v>352</v>
      </c>
      <c r="F40" s="568" t="s">
        <v>133</v>
      </c>
      <c r="G40" s="591" t="s">
        <v>190</v>
      </c>
      <c r="H40" s="576"/>
      <c r="I40" s="828">
        <v>10</v>
      </c>
      <c r="J40" s="840">
        <f t="shared" si="11"/>
        <v>190</v>
      </c>
      <c r="K40" s="845">
        <v>1</v>
      </c>
      <c r="L40" s="593">
        <f>540/I40</f>
        <v>54</v>
      </c>
      <c r="M40" s="373">
        <f t="shared" si="2"/>
        <v>3.5185185185185186</v>
      </c>
      <c r="N40" s="381">
        <f t="shared" si="0"/>
        <v>4</v>
      </c>
      <c r="O40" s="1051">
        <f t="shared" si="10"/>
        <v>4</v>
      </c>
      <c r="P40" s="1052"/>
      <c r="Q40" s="1053"/>
      <c r="S40" s="1076">
        <f t="shared" si="12"/>
        <v>4</v>
      </c>
      <c r="T40" s="1077"/>
      <c r="U40" s="1078"/>
      <c r="V40" s="404">
        <f>(S40*1)+U40</f>
        <v>4</v>
      </c>
      <c r="W40" s="402">
        <f t="shared" si="1"/>
        <v>4</v>
      </c>
      <c r="X40" s="546" t="s">
        <v>261</v>
      </c>
    </row>
    <row r="41" spans="2:24" x14ac:dyDescent="0.2">
      <c r="B41" s="766"/>
      <c r="C41" s="633"/>
      <c r="D41" s="567"/>
      <c r="E41" s="575" t="s">
        <v>279</v>
      </c>
      <c r="F41" s="568" t="s">
        <v>132</v>
      </c>
      <c r="G41" s="591" t="s">
        <v>3</v>
      </c>
      <c r="H41" s="576"/>
      <c r="I41" s="828">
        <v>10</v>
      </c>
      <c r="J41" s="840">
        <f t="shared" si="11"/>
        <v>190</v>
      </c>
      <c r="K41" s="845">
        <v>1</v>
      </c>
      <c r="L41" s="593">
        <f>13.5/I41</f>
        <v>1.35</v>
      </c>
      <c r="M41" s="373">
        <f t="shared" si="2"/>
        <v>140.74074074074073</v>
      </c>
      <c r="N41" s="381">
        <f t="shared" si="0"/>
        <v>141</v>
      </c>
      <c r="O41" s="432">
        <f>ROUNDDOWN(N41/48,0)</f>
        <v>2</v>
      </c>
      <c r="P41" s="378" t="s">
        <v>193</v>
      </c>
      <c r="Q41" s="433">
        <f>MOD(N41,48)</f>
        <v>45</v>
      </c>
      <c r="S41" s="848">
        <f t="shared" si="12"/>
        <v>2</v>
      </c>
      <c r="T41" s="805" t="s">
        <v>193</v>
      </c>
      <c r="U41" s="849">
        <f>Q41</f>
        <v>45</v>
      </c>
      <c r="V41" s="404">
        <f>(S41*48)+U41</f>
        <v>141</v>
      </c>
      <c r="W41" s="402">
        <f t="shared" si="1"/>
        <v>141</v>
      </c>
      <c r="X41" s="546" t="s">
        <v>3</v>
      </c>
    </row>
    <row r="42" spans="2:24" x14ac:dyDescent="0.2">
      <c r="B42" s="766"/>
      <c r="C42" s="633"/>
      <c r="D42" s="567"/>
      <c r="E42" s="568" t="s">
        <v>353</v>
      </c>
      <c r="F42" s="568" t="s">
        <v>130</v>
      </c>
      <c r="G42" s="591" t="s">
        <v>190</v>
      </c>
      <c r="H42" s="576"/>
      <c r="I42" s="828">
        <v>6</v>
      </c>
      <c r="J42" s="840">
        <f t="shared" si="11"/>
        <v>190</v>
      </c>
      <c r="K42" s="845">
        <v>1</v>
      </c>
      <c r="L42" s="593">
        <f>544/I42</f>
        <v>90.666666666666671</v>
      </c>
      <c r="M42" s="373">
        <f t="shared" si="2"/>
        <v>2.0955882352941178</v>
      </c>
      <c r="N42" s="381">
        <f t="shared" si="0"/>
        <v>3</v>
      </c>
      <c r="O42" s="1051">
        <f t="shared" si="10"/>
        <v>3</v>
      </c>
      <c r="P42" s="1052"/>
      <c r="Q42" s="1053"/>
      <c r="S42" s="1076">
        <f t="shared" si="12"/>
        <v>3</v>
      </c>
      <c r="T42" s="1077"/>
      <c r="U42" s="1078"/>
      <c r="V42" s="404">
        <f>(S42*1)+U42</f>
        <v>3</v>
      </c>
      <c r="W42" s="402">
        <f t="shared" si="1"/>
        <v>3</v>
      </c>
      <c r="X42" s="546" t="s">
        <v>261</v>
      </c>
    </row>
    <row r="43" spans="2:24" x14ac:dyDescent="0.2">
      <c r="B43" s="766"/>
      <c r="C43" s="633"/>
      <c r="D43" s="567"/>
      <c r="E43" s="568" t="s">
        <v>354</v>
      </c>
      <c r="F43" s="568" t="s">
        <v>28</v>
      </c>
      <c r="G43" s="591" t="s">
        <v>3</v>
      </c>
      <c r="H43" s="576"/>
      <c r="I43" s="828">
        <v>6</v>
      </c>
      <c r="J43" s="840">
        <f t="shared" si="11"/>
        <v>190</v>
      </c>
      <c r="K43" s="845">
        <v>1</v>
      </c>
      <c r="L43" s="593">
        <f>17/I43</f>
        <v>2.8333333333333335</v>
      </c>
      <c r="M43" s="373">
        <f t="shared" si="2"/>
        <v>67.058823529411768</v>
      </c>
      <c r="N43" s="381">
        <f t="shared" si="0"/>
        <v>68</v>
      </c>
      <c r="O43" s="432">
        <f>ROUNDDOWN(N43/48,0)</f>
        <v>1</v>
      </c>
      <c r="P43" s="378" t="s">
        <v>193</v>
      </c>
      <c r="Q43" s="433">
        <f>MOD(N43,48)</f>
        <v>20</v>
      </c>
      <c r="S43" s="848">
        <f t="shared" si="12"/>
        <v>1</v>
      </c>
      <c r="T43" s="805" t="s">
        <v>193</v>
      </c>
      <c r="U43" s="849">
        <f>Q43</f>
        <v>20</v>
      </c>
      <c r="V43" s="404">
        <f>(S43*48)+U43</f>
        <v>68</v>
      </c>
      <c r="W43" s="402">
        <f t="shared" si="1"/>
        <v>68</v>
      </c>
      <c r="X43" s="546" t="s">
        <v>3</v>
      </c>
    </row>
    <row r="44" spans="2:24" x14ac:dyDescent="0.2">
      <c r="B44" s="767"/>
      <c r="C44" s="634"/>
      <c r="D44" s="570"/>
      <c r="E44" s="571" t="s">
        <v>282</v>
      </c>
      <c r="F44" s="572"/>
      <c r="G44" s="574"/>
      <c r="H44" s="588"/>
      <c r="I44" s="830"/>
      <c r="J44" s="843"/>
      <c r="K44" s="844"/>
      <c r="L44" s="595"/>
      <c r="M44" s="427"/>
      <c r="N44" s="428"/>
      <c r="S44" s="407"/>
      <c r="T44" s="406"/>
      <c r="U44" s="850"/>
      <c r="V44" s="385"/>
      <c r="W44" s="431"/>
      <c r="X44" s="385"/>
    </row>
    <row r="45" spans="2:24" x14ac:dyDescent="0.2">
      <c r="B45" s="766"/>
      <c r="C45" s="633"/>
      <c r="D45" s="567"/>
      <c r="E45" s="568" t="s">
        <v>355</v>
      </c>
      <c r="F45" s="568" t="s">
        <v>61</v>
      </c>
      <c r="G45" s="591" t="s">
        <v>190</v>
      </c>
      <c r="H45" s="576"/>
      <c r="I45" s="828">
        <v>10</v>
      </c>
      <c r="J45" s="840">
        <f t="shared" ref="J45:J50" si="13">$J$6</f>
        <v>190</v>
      </c>
      <c r="K45" s="845">
        <v>1</v>
      </c>
      <c r="L45" s="593">
        <f>600/I45</f>
        <v>60</v>
      </c>
      <c r="M45" s="373">
        <f t="shared" si="2"/>
        <v>3.1666666666666665</v>
      </c>
      <c r="N45" s="381">
        <f t="shared" si="0"/>
        <v>4</v>
      </c>
      <c r="O45" s="1051">
        <f>ROUNDDOWN(N45/1,0)</f>
        <v>4</v>
      </c>
      <c r="P45" s="1052"/>
      <c r="Q45" s="1053"/>
      <c r="S45" s="1076">
        <f t="shared" ref="S45:S52" si="14">O45</f>
        <v>4</v>
      </c>
      <c r="T45" s="1077"/>
      <c r="U45" s="1078"/>
      <c r="V45" s="404">
        <f>(S45*1)+U45</f>
        <v>4</v>
      </c>
      <c r="W45" s="402">
        <f t="shared" si="1"/>
        <v>4</v>
      </c>
      <c r="X45" s="546" t="s">
        <v>261</v>
      </c>
    </row>
    <row r="46" spans="2:24" x14ac:dyDescent="0.2">
      <c r="B46" s="766"/>
      <c r="C46" s="633"/>
      <c r="D46" s="567"/>
      <c r="E46" s="568" t="s">
        <v>356</v>
      </c>
      <c r="F46" s="568" t="s">
        <v>62</v>
      </c>
      <c r="G46" s="591" t="s">
        <v>190</v>
      </c>
      <c r="H46" s="576"/>
      <c r="I46" s="828">
        <v>10</v>
      </c>
      <c r="J46" s="840">
        <f t="shared" si="13"/>
        <v>190</v>
      </c>
      <c r="K46" s="845">
        <v>1</v>
      </c>
      <c r="L46" s="593">
        <f>300/I46</f>
        <v>30</v>
      </c>
      <c r="M46" s="373">
        <f t="shared" si="2"/>
        <v>6.333333333333333</v>
      </c>
      <c r="N46" s="381">
        <f t="shared" si="0"/>
        <v>7</v>
      </c>
      <c r="O46" s="1051">
        <f>ROUNDDOWN(N46/1,0)</f>
        <v>7</v>
      </c>
      <c r="P46" s="1052"/>
      <c r="Q46" s="1053"/>
      <c r="S46" s="1076">
        <f t="shared" si="14"/>
        <v>7</v>
      </c>
      <c r="T46" s="1077"/>
      <c r="U46" s="1078"/>
      <c r="V46" s="404">
        <f>(S46*1)+U46</f>
        <v>7</v>
      </c>
      <c r="W46" s="402">
        <f t="shared" si="1"/>
        <v>7</v>
      </c>
      <c r="X46" s="546" t="s">
        <v>261</v>
      </c>
    </row>
    <row r="47" spans="2:24" x14ac:dyDescent="0.2">
      <c r="B47" s="766"/>
      <c r="C47" s="633"/>
      <c r="D47" s="567"/>
      <c r="E47" s="568" t="s">
        <v>357</v>
      </c>
      <c r="F47" s="568" t="s">
        <v>123</v>
      </c>
      <c r="G47" s="591" t="s">
        <v>190</v>
      </c>
      <c r="H47" s="576"/>
      <c r="I47" s="828">
        <v>10</v>
      </c>
      <c r="J47" s="840">
        <f t="shared" si="13"/>
        <v>190</v>
      </c>
      <c r="K47" s="845">
        <v>1</v>
      </c>
      <c r="L47" s="593">
        <f>625/I47</f>
        <v>62.5</v>
      </c>
      <c r="M47" s="373">
        <f t="shared" si="2"/>
        <v>3.04</v>
      </c>
      <c r="N47" s="381">
        <f t="shared" si="0"/>
        <v>4</v>
      </c>
      <c r="O47" s="1051">
        <f>ROUNDDOWN(N47/1,0)</f>
        <v>4</v>
      </c>
      <c r="P47" s="1052"/>
      <c r="Q47" s="1053"/>
      <c r="S47" s="1076">
        <f t="shared" si="14"/>
        <v>4</v>
      </c>
      <c r="T47" s="1077"/>
      <c r="U47" s="1078"/>
      <c r="V47" s="404">
        <f>(S47*1)+U47</f>
        <v>4</v>
      </c>
      <c r="W47" s="402">
        <f t="shared" si="1"/>
        <v>4</v>
      </c>
      <c r="X47" s="546" t="s">
        <v>261</v>
      </c>
    </row>
    <row r="48" spans="2:24" x14ac:dyDescent="0.2">
      <c r="B48" s="766"/>
      <c r="C48" s="633"/>
      <c r="D48" s="567"/>
      <c r="E48" s="575" t="s">
        <v>358</v>
      </c>
      <c r="F48" s="568" t="s">
        <v>124</v>
      </c>
      <c r="G48" s="591" t="s">
        <v>3</v>
      </c>
      <c r="H48" s="576"/>
      <c r="I48" s="828">
        <v>10</v>
      </c>
      <c r="J48" s="840">
        <f t="shared" si="13"/>
        <v>190</v>
      </c>
      <c r="K48" s="845">
        <v>1</v>
      </c>
      <c r="L48" s="593">
        <f>16.7/I48</f>
        <v>1.67</v>
      </c>
      <c r="M48" s="373">
        <f t="shared" si="2"/>
        <v>113.77245508982037</v>
      </c>
      <c r="N48" s="381">
        <f t="shared" si="0"/>
        <v>114</v>
      </c>
      <c r="O48" s="432">
        <f>ROUNDDOWN(N48/48,0)</f>
        <v>2</v>
      </c>
      <c r="P48" s="378" t="s">
        <v>193</v>
      </c>
      <c r="Q48" s="433">
        <f>MOD(N48,48)</f>
        <v>18</v>
      </c>
      <c r="S48" s="848">
        <f t="shared" si="14"/>
        <v>2</v>
      </c>
      <c r="T48" s="805" t="s">
        <v>193</v>
      </c>
      <c r="U48" s="849">
        <f>Q48</f>
        <v>18</v>
      </c>
      <c r="V48" s="404">
        <f>(S48*48)+U48</f>
        <v>114</v>
      </c>
      <c r="W48" s="402">
        <f t="shared" si="1"/>
        <v>114</v>
      </c>
      <c r="X48" s="546" t="s">
        <v>3</v>
      </c>
    </row>
    <row r="49" spans="2:24" x14ac:dyDescent="0.2">
      <c r="B49" s="766"/>
      <c r="C49" s="633"/>
      <c r="D49" s="567"/>
      <c r="E49" s="568" t="s">
        <v>359</v>
      </c>
      <c r="F49" s="568" t="s">
        <v>30</v>
      </c>
      <c r="G49" s="591" t="s">
        <v>190</v>
      </c>
      <c r="H49" s="576"/>
      <c r="I49" s="828">
        <v>3</v>
      </c>
      <c r="J49" s="840">
        <f t="shared" si="13"/>
        <v>190</v>
      </c>
      <c r="K49" s="845">
        <v>1</v>
      </c>
      <c r="L49" s="593">
        <f>544/I49</f>
        <v>181.33333333333334</v>
      </c>
      <c r="M49" s="373">
        <f>(J49*K49)/L49</f>
        <v>1.0477941176470589</v>
      </c>
      <c r="N49" s="381">
        <f>ROUNDUP(M49,0)</f>
        <v>2</v>
      </c>
      <c r="O49" s="1051">
        <f>ROUNDDOWN(N49/1,0)</f>
        <v>2</v>
      </c>
      <c r="P49" s="1052"/>
      <c r="Q49" s="1053"/>
      <c r="S49" s="1076">
        <f>O49</f>
        <v>2</v>
      </c>
      <c r="T49" s="1077"/>
      <c r="U49" s="1078"/>
      <c r="V49" s="404">
        <f>(S49*1)+U49</f>
        <v>2</v>
      </c>
      <c r="W49" s="402">
        <f>V49</f>
        <v>2</v>
      </c>
      <c r="X49" s="546" t="s">
        <v>261</v>
      </c>
    </row>
    <row r="50" spans="2:24" x14ac:dyDescent="0.2">
      <c r="B50" s="766"/>
      <c r="C50" s="633"/>
      <c r="D50" s="567"/>
      <c r="E50" s="568" t="s">
        <v>283</v>
      </c>
      <c r="F50" s="568" t="s">
        <v>29</v>
      </c>
      <c r="G50" s="591" t="s">
        <v>3</v>
      </c>
      <c r="H50" s="576"/>
      <c r="I50" s="828">
        <v>3</v>
      </c>
      <c r="J50" s="840">
        <f t="shared" si="13"/>
        <v>190</v>
      </c>
      <c r="K50" s="845">
        <v>1</v>
      </c>
      <c r="L50" s="593">
        <f>17/I50</f>
        <v>5.666666666666667</v>
      </c>
      <c r="M50" s="373">
        <f>(J50*K50)/L50</f>
        <v>33.529411764705884</v>
      </c>
      <c r="N50" s="381">
        <f>ROUNDUP(M50,0)</f>
        <v>34</v>
      </c>
      <c r="O50" s="432">
        <f>ROUNDDOWN(N50/48,0)</f>
        <v>0</v>
      </c>
      <c r="P50" s="378" t="s">
        <v>193</v>
      </c>
      <c r="Q50" s="433">
        <f>MOD(N50,48)</f>
        <v>34</v>
      </c>
      <c r="S50" s="848">
        <f>O50</f>
        <v>0</v>
      </c>
      <c r="T50" s="805" t="s">
        <v>193</v>
      </c>
      <c r="U50" s="849">
        <f>Q50</f>
        <v>34</v>
      </c>
      <c r="V50" s="404">
        <f>(S50*48)+U50</f>
        <v>34</v>
      </c>
      <c r="W50" s="402">
        <f>V50</f>
        <v>34</v>
      </c>
      <c r="X50" s="546" t="s">
        <v>3</v>
      </c>
    </row>
    <row r="51" spans="2:24" x14ac:dyDescent="0.2">
      <c r="B51" s="767"/>
      <c r="C51" s="635"/>
      <c r="D51" s="583"/>
      <c r="E51" s="573" t="s">
        <v>204</v>
      </c>
      <c r="F51" s="572"/>
      <c r="G51" s="574"/>
      <c r="H51" s="588"/>
      <c r="I51" s="830"/>
      <c r="J51" s="843"/>
      <c r="K51" s="844"/>
      <c r="L51" s="595"/>
      <c r="M51" s="427"/>
      <c r="N51" s="428"/>
      <c r="O51" s="539"/>
      <c r="Q51" s="465"/>
      <c r="S51" s="851"/>
      <c r="T51" s="852"/>
      <c r="U51" s="853"/>
      <c r="V51" s="385"/>
      <c r="W51" s="431"/>
      <c r="X51" s="385"/>
    </row>
    <row r="52" spans="2:24" x14ac:dyDescent="0.2">
      <c r="B52" s="766"/>
      <c r="C52" s="636"/>
      <c r="D52" s="584"/>
      <c r="E52" s="575" t="s">
        <v>284</v>
      </c>
      <c r="F52" s="568" t="s">
        <v>203</v>
      </c>
      <c r="G52" s="591" t="s">
        <v>3</v>
      </c>
      <c r="H52" s="832"/>
      <c r="I52" s="828">
        <v>10</v>
      </c>
      <c r="J52" s="840">
        <f>$J$6</f>
        <v>190</v>
      </c>
      <c r="K52" s="845">
        <v>1</v>
      </c>
      <c r="L52" s="593">
        <f>16/I52</f>
        <v>1.6</v>
      </c>
      <c r="M52" s="373">
        <f t="shared" si="2"/>
        <v>118.75</v>
      </c>
      <c r="N52" s="381">
        <f t="shared" si="0"/>
        <v>119</v>
      </c>
      <c r="O52" s="432">
        <f>ROUNDDOWN(N52/48,0)</f>
        <v>2</v>
      </c>
      <c r="P52" s="378" t="s">
        <v>193</v>
      </c>
      <c r="Q52" s="433">
        <f>MOD(N52,48)</f>
        <v>23</v>
      </c>
      <c r="S52" s="848">
        <f t="shared" si="14"/>
        <v>2</v>
      </c>
      <c r="T52" s="805" t="s">
        <v>193</v>
      </c>
      <c r="U52" s="849">
        <f>Q52</f>
        <v>23</v>
      </c>
      <c r="V52" s="404">
        <f>(S52*48)+U52</f>
        <v>119</v>
      </c>
      <c r="W52" s="402">
        <f t="shared" si="1"/>
        <v>119</v>
      </c>
      <c r="X52" s="546" t="s">
        <v>3</v>
      </c>
    </row>
    <row r="53" spans="2:24" x14ac:dyDescent="0.2">
      <c r="B53" s="767"/>
      <c r="C53" s="635"/>
      <c r="D53" s="583"/>
      <c r="E53" s="571" t="s">
        <v>75</v>
      </c>
      <c r="F53" s="572"/>
      <c r="G53" s="574"/>
      <c r="H53" s="833"/>
      <c r="I53" s="830"/>
      <c r="J53" s="843"/>
      <c r="K53" s="844"/>
      <c r="L53" s="595"/>
      <c r="M53" s="427"/>
      <c r="N53" s="428"/>
      <c r="S53" s="407"/>
      <c r="T53" s="406"/>
      <c r="U53" s="850"/>
      <c r="V53" s="385"/>
      <c r="W53" s="431"/>
      <c r="X53" s="385"/>
    </row>
    <row r="54" spans="2:24" x14ac:dyDescent="0.2">
      <c r="B54" s="768"/>
      <c r="C54" s="637"/>
      <c r="D54" s="597"/>
      <c r="E54" s="598" t="s">
        <v>360</v>
      </c>
      <c r="F54" s="836" t="s">
        <v>76</v>
      </c>
      <c r="G54" s="599" t="s">
        <v>6</v>
      </c>
      <c r="H54" s="834"/>
      <c r="I54" s="835">
        <v>1</v>
      </c>
      <c r="J54" s="846">
        <f>$J$6</f>
        <v>190</v>
      </c>
      <c r="K54" s="847">
        <v>1</v>
      </c>
      <c r="L54" s="614">
        <f>7.5/I54</f>
        <v>7.5</v>
      </c>
      <c r="M54" s="374">
        <f t="shared" si="2"/>
        <v>25.333333333333332</v>
      </c>
      <c r="N54" s="399">
        <f t="shared" si="0"/>
        <v>26</v>
      </c>
      <c r="O54" s="538">
        <f>ROUNDDOWN(N54/33,0)</f>
        <v>0</v>
      </c>
      <c r="P54" s="401" t="s">
        <v>193</v>
      </c>
      <c r="Q54" s="434">
        <f>MOD(N54,33)</f>
        <v>26</v>
      </c>
      <c r="R54" s="600"/>
      <c r="S54" s="854">
        <f>O54</f>
        <v>0</v>
      </c>
      <c r="T54" s="855" t="s">
        <v>193</v>
      </c>
      <c r="U54" s="856">
        <f>Q54</f>
        <v>26</v>
      </c>
      <c r="V54" s="377">
        <f>(S54*33)+U54</f>
        <v>26</v>
      </c>
      <c r="W54" s="601">
        <f t="shared" si="1"/>
        <v>26</v>
      </c>
      <c r="X54" s="547" t="s">
        <v>308</v>
      </c>
    </row>
    <row r="55" spans="2:24" x14ac:dyDescent="0.2">
      <c r="B55" s="138"/>
      <c r="C55" s="138"/>
      <c r="D55" s="138"/>
      <c r="E55" s="137"/>
      <c r="F55" s="139"/>
      <c r="G55" s="140"/>
      <c r="H55" s="140"/>
      <c r="I55" s="453"/>
      <c r="J55" s="136"/>
      <c r="K55" s="138"/>
      <c r="L55" s="585"/>
      <c r="M55" s="143"/>
    </row>
    <row r="56" spans="2:24" x14ac:dyDescent="0.2">
      <c r="B56" s="160" t="s">
        <v>42</v>
      </c>
      <c r="C56" s="160"/>
      <c r="D56" s="160"/>
      <c r="E56" s="161"/>
      <c r="F56" s="160"/>
      <c r="G56" s="161"/>
      <c r="H56" s="161"/>
      <c r="I56" s="454"/>
      <c r="J56" s="163"/>
      <c r="K56" s="160"/>
      <c r="L56" s="586"/>
      <c r="M56" s="164"/>
    </row>
    <row r="57" spans="2:24" x14ac:dyDescent="0.2">
      <c r="B57" s="160"/>
      <c r="C57" s="160"/>
      <c r="D57" s="160"/>
      <c r="E57" s="161"/>
      <c r="F57" s="160"/>
      <c r="G57" s="161"/>
      <c r="H57" s="161"/>
      <c r="I57" s="454"/>
      <c r="J57" s="163"/>
      <c r="K57" s="160"/>
      <c r="L57" s="586"/>
      <c r="M57" s="164"/>
    </row>
    <row r="58" spans="2:24" x14ac:dyDescent="0.2">
      <c r="B58" s="160"/>
      <c r="C58" s="160"/>
      <c r="D58" s="160"/>
      <c r="E58" s="161"/>
      <c r="F58" s="160"/>
      <c r="G58" s="161"/>
      <c r="H58" s="161"/>
      <c r="I58" s="454"/>
      <c r="J58" s="163"/>
      <c r="K58" s="160"/>
      <c r="L58" s="586"/>
      <c r="M58" s="164"/>
    </row>
    <row r="59" spans="2:24" x14ac:dyDescent="0.2">
      <c r="B59" s="160"/>
      <c r="C59" s="160"/>
      <c r="D59" s="160"/>
      <c r="E59" s="804"/>
      <c r="F59" s="805"/>
      <c r="G59" s="806"/>
      <c r="H59" s="806"/>
      <c r="I59" s="826"/>
      <c r="J59" s="161"/>
      <c r="K59" s="160"/>
      <c r="L59" s="807"/>
      <c r="M59" s="827"/>
    </row>
    <row r="60" spans="2:24" x14ac:dyDescent="0.2">
      <c r="B60" s="160"/>
      <c r="C60" s="160"/>
      <c r="D60" s="160"/>
      <c r="E60" s="804"/>
      <c r="F60" s="805"/>
      <c r="G60" s="806"/>
      <c r="H60" s="806"/>
      <c r="I60" s="826"/>
      <c r="J60" s="161"/>
      <c r="K60" s="160"/>
      <c r="L60" s="807"/>
      <c r="M60" s="827"/>
    </row>
  </sheetData>
  <sheetProtection insertRows="0"/>
  <protectedRanges>
    <protectedRange sqref="A1:A5" name="Bereich1_1_1_1_1_1_1_1"/>
    <protectedRange sqref="E1:M3" name="Bereich1_1_1_1_1_1_1_1_5"/>
    <protectedRange sqref="B1:D1" name="Bereich1_1_1_1_1_1_1_1_1_2"/>
    <protectedRange sqref="B2:D2" name="Bereich1_1_1_1_1_1_1_1_3"/>
    <protectedRange sqref="B4:D4" name="Bereich1_1_1_1_1_1_1_1_3_1_1_4"/>
    <protectedRange sqref="E4:G4" name="Bereich1_1_1_1_1_1_1_1_3_1_5"/>
    <protectedRange sqref="I4:L4" name="Bereich1_1_1_1_1_1_1_1_3_1_6"/>
    <protectedRange sqref="V4 N4" name="Bereich1_1_1_1_1_1_1_1_3_1_2_5"/>
    <protectedRange sqref="M4" name="Bereich1_1_1_1_1_1_1_1_3_1_2_6"/>
    <protectedRange sqref="H4" name="Bereich1_1_1_1_1_1_1_1_3_1_6_1"/>
  </protectedRanges>
  <mergeCells count="76">
    <mergeCell ref="X4:X5"/>
    <mergeCell ref="O27:Q27"/>
    <mergeCell ref="S27:U27"/>
    <mergeCell ref="O28:Q28"/>
    <mergeCell ref="S28:U28"/>
    <mergeCell ref="O25:Q25"/>
    <mergeCell ref="S25:U25"/>
    <mergeCell ref="O12:Q12"/>
    <mergeCell ref="O26:Q26"/>
    <mergeCell ref="S26:U26"/>
    <mergeCell ref="O10:Q10"/>
    <mergeCell ref="O15:Q15"/>
    <mergeCell ref="O18:Q18"/>
    <mergeCell ref="S8:U8"/>
    <mergeCell ref="S13:U13"/>
    <mergeCell ref="S4:U4"/>
    <mergeCell ref="I4:I5"/>
    <mergeCell ref="J4:J5"/>
    <mergeCell ref="G4:G5"/>
    <mergeCell ref="O13:Q13"/>
    <mergeCell ref="O14:Q14"/>
    <mergeCell ref="L4:L5"/>
    <mergeCell ref="N4:N5"/>
    <mergeCell ref="O11:Q11"/>
    <mergeCell ref="H4:H5"/>
    <mergeCell ref="O9:Q9"/>
    <mergeCell ref="O8:Q8"/>
    <mergeCell ref="M4:M5"/>
    <mergeCell ref="K4:K5"/>
    <mergeCell ref="B4:B5"/>
    <mergeCell ref="C4:C5"/>
    <mergeCell ref="D4:D5"/>
    <mergeCell ref="E4:E5"/>
    <mergeCell ref="F4:F5"/>
    <mergeCell ref="V4:V5"/>
    <mergeCell ref="W4:W5"/>
    <mergeCell ref="O7:Q7"/>
    <mergeCell ref="S7:U7"/>
    <mergeCell ref="O4:Q4"/>
    <mergeCell ref="O24:Q24"/>
    <mergeCell ref="S24:U24"/>
    <mergeCell ref="S31:U31"/>
    <mergeCell ref="S9:U9"/>
    <mergeCell ref="S11:U11"/>
    <mergeCell ref="S12:U12"/>
    <mergeCell ref="S14:U14"/>
    <mergeCell ref="S18:U18"/>
    <mergeCell ref="S10:U10"/>
    <mergeCell ref="S15:U15"/>
    <mergeCell ref="S29:U29"/>
    <mergeCell ref="O29:Q29"/>
    <mergeCell ref="O31:Q31"/>
    <mergeCell ref="S32:U32"/>
    <mergeCell ref="S39:U39"/>
    <mergeCell ref="S40:U40"/>
    <mergeCell ref="O38:Q38"/>
    <mergeCell ref="O32:Q32"/>
    <mergeCell ref="S38:U38"/>
    <mergeCell ref="O40:Q40"/>
    <mergeCell ref="S34:U34"/>
    <mergeCell ref="S35:U35"/>
    <mergeCell ref="S36:U36"/>
    <mergeCell ref="O34:Q34"/>
    <mergeCell ref="O35:Q35"/>
    <mergeCell ref="O36:Q36"/>
    <mergeCell ref="O39:Q39"/>
    <mergeCell ref="O49:Q49"/>
    <mergeCell ref="S49:U49"/>
    <mergeCell ref="S47:U47"/>
    <mergeCell ref="O42:Q42"/>
    <mergeCell ref="O45:Q45"/>
    <mergeCell ref="O46:Q46"/>
    <mergeCell ref="S45:U45"/>
    <mergeCell ref="O47:Q47"/>
    <mergeCell ref="S46:U46"/>
    <mergeCell ref="S42:U42"/>
  </mergeCells>
  <pageMargins left="0.25" right="0.25" top="0.75" bottom="0.75" header="0.3" footer="0.3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89934-DE8A-47BD-BC26-EE86597E671B}">
  <sheetPr>
    <pageSetUpPr fitToPage="1"/>
  </sheetPr>
  <dimension ref="A1:W41"/>
  <sheetViews>
    <sheetView zoomScaleNormal="100" workbookViewId="0">
      <selection activeCell="K19" sqref="K19"/>
    </sheetView>
  </sheetViews>
  <sheetFormatPr baseColWidth="10" defaultRowHeight="15.75" x14ac:dyDescent="0.2"/>
  <cols>
    <col min="1" max="1" width="2.28515625" style="135" customWidth="1"/>
    <col min="2" max="2" width="9.140625" style="127" customWidth="1"/>
    <col min="3" max="3" width="11" style="127" customWidth="1"/>
    <col min="4" max="4" width="8.85546875" style="127" customWidth="1"/>
    <col min="5" max="5" width="74.28515625" style="129" customWidth="1"/>
    <col min="6" max="6" width="14.140625" style="130" customWidth="1"/>
    <col min="7" max="7" width="10.7109375" style="131" customWidth="1"/>
    <col min="8" max="9" width="10.7109375" style="132" customWidth="1"/>
    <col min="10" max="10" width="10.7109375" style="128" customWidth="1"/>
    <col min="11" max="11" width="15.7109375" style="131" customWidth="1"/>
    <col min="12" max="12" width="10.7109375" style="133" customWidth="1"/>
    <col min="13" max="13" width="8.5703125" style="134" customWidth="1"/>
    <col min="14" max="14" width="8.7109375" style="124" bestFit="1" customWidth="1"/>
    <col min="15" max="15" width="2.140625" style="376" bestFit="1" customWidth="1"/>
    <col min="16" max="16" width="5.28515625" style="124" customWidth="1"/>
    <col min="17" max="17" width="2.28515625" style="124" customWidth="1"/>
    <col min="18" max="18" width="8.7109375" style="124" bestFit="1" customWidth="1"/>
    <col min="19" max="19" width="2.140625" style="376" bestFit="1" customWidth="1"/>
    <col min="20" max="20" width="5.140625" style="124" bestFit="1" customWidth="1"/>
    <col min="21" max="21" width="11.42578125" style="124"/>
    <col min="22" max="22" width="11.85546875" style="124" bestFit="1" customWidth="1"/>
    <col min="23" max="23" width="12.28515625" style="124" customWidth="1"/>
    <col min="24" max="16384" width="11.42578125" style="124"/>
  </cols>
  <sheetData>
    <row r="1" spans="1:23" x14ac:dyDescent="0.2">
      <c r="A1" s="117"/>
      <c r="B1" s="116" t="s">
        <v>157</v>
      </c>
      <c r="C1" s="116"/>
      <c r="D1" s="116"/>
      <c r="E1" s="119"/>
    </row>
    <row r="2" spans="1:23" x14ac:dyDescent="0.2">
      <c r="A2" s="117"/>
      <c r="B2" s="125" t="s">
        <v>40</v>
      </c>
      <c r="C2" s="125"/>
      <c r="D2" s="125"/>
      <c r="E2" s="119"/>
    </row>
    <row r="3" spans="1:23" x14ac:dyDescent="0.2">
      <c r="A3" s="117"/>
      <c r="B3" s="125"/>
      <c r="C3" s="125"/>
      <c r="D3" s="125"/>
      <c r="E3" s="119"/>
    </row>
    <row r="4" spans="1:23" ht="23.25" x14ac:dyDescent="0.2">
      <c r="A4" s="126"/>
      <c r="B4" s="328" t="s">
        <v>172</v>
      </c>
    </row>
    <row r="5" spans="1:23" ht="33.75" customHeight="1" x14ac:dyDescent="0.2">
      <c r="A5" s="126"/>
      <c r="B5" s="1068" t="s">
        <v>185</v>
      </c>
      <c r="C5" s="1069" t="s">
        <v>183</v>
      </c>
      <c r="D5" s="1068" t="s">
        <v>184</v>
      </c>
      <c r="E5" s="1067" t="s">
        <v>0</v>
      </c>
      <c r="F5" s="1070" t="s">
        <v>1</v>
      </c>
      <c r="G5" s="1067" t="s">
        <v>196</v>
      </c>
      <c r="H5" s="1073" t="s">
        <v>201</v>
      </c>
      <c r="I5" s="1083" t="s">
        <v>189</v>
      </c>
      <c r="J5" s="1068" t="s">
        <v>17</v>
      </c>
      <c r="K5" s="1067" t="s">
        <v>197</v>
      </c>
      <c r="L5" s="1058" t="s">
        <v>32</v>
      </c>
      <c r="M5" s="1061" t="s">
        <v>192</v>
      </c>
      <c r="N5" s="1081" t="s">
        <v>196</v>
      </c>
      <c r="O5" s="1062"/>
      <c r="P5" s="1063"/>
      <c r="Q5" s="541"/>
      <c r="R5" s="1064" t="s">
        <v>202</v>
      </c>
      <c r="S5" s="1065"/>
      <c r="T5" s="1066"/>
      <c r="U5" s="1058" t="s">
        <v>32</v>
      </c>
      <c r="V5" s="1059" t="s">
        <v>200</v>
      </c>
      <c r="W5" s="1057" t="s">
        <v>368</v>
      </c>
    </row>
    <row r="6" spans="1:23" s="136" customFormat="1" ht="14.25" customHeight="1" thickBot="1" x14ac:dyDescent="0.25">
      <c r="A6" s="135"/>
      <c r="B6" s="1068"/>
      <c r="C6" s="1069"/>
      <c r="D6" s="1068"/>
      <c r="E6" s="1067"/>
      <c r="F6" s="1070"/>
      <c r="G6" s="1067"/>
      <c r="H6" s="1073"/>
      <c r="I6" s="1084"/>
      <c r="J6" s="1068"/>
      <c r="K6" s="1067"/>
      <c r="L6" s="1058"/>
      <c r="M6" s="1061"/>
      <c r="N6" s="558" t="s">
        <v>195</v>
      </c>
      <c r="O6" s="559"/>
      <c r="P6" s="560" t="s">
        <v>194</v>
      </c>
      <c r="Q6" s="139"/>
      <c r="R6" s="397" t="s">
        <v>195</v>
      </c>
      <c r="S6" s="403" t="s">
        <v>193</v>
      </c>
      <c r="T6" s="398" t="s">
        <v>194</v>
      </c>
      <c r="U6" s="1058"/>
      <c r="V6" s="1059"/>
      <c r="W6" s="1057"/>
    </row>
    <row r="7" spans="1:23" ht="33" customHeight="1" thickTop="1" x14ac:dyDescent="0.2">
      <c r="A7" s="144"/>
      <c r="B7" s="393"/>
      <c r="C7" s="394"/>
      <c r="D7" s="394"/>
      <c r="E7" s="395"/>
      <c r="H7" s="442"/>
      <c r="I7" s="596">
        <v>10</v>
      </c>
      <c r="J7" s="394"/>
      <c r="K7" s="396"/>
      <c r="M7" s="379"/>
      <c r="P7" s="142"/>
      <c r="U7" s="390"/>
      <c r="V7" s="390"/>
    </row>
    <row r="8" spans="1:23" x14ac:dyDescent="0.2">
      <c r="A8" s="146"/>
      <c r="B8" s="770"/>
      <c r="C8" s="630"/>
      <c r="D8" s="602"/>
      <c r="E8" s="603" t="s">
        <v>291</v>
      </c>
      <c r="F8" s="604"/>
      <c r="G8" s="605"/>
      <c r="H8" s="618"/>
      <c r="I8" s="446"/>
      <c r="J8" s="606"/>
      <c r="K8" s="619"/>
      <c r="L8" s="620"/>
      <c r="M8" s="416"/>
      <c r="N8" s="417"/>
      <c r="O8" s="418"/>
      <c r="P8" s="419"/>
      <c r="Q8" s="385"/>
      <c r="R8" s="417"/>
      <c r="S8" s="418"/>
      <c r="T8" s="420"/>
      <c r="U8" s="421"/>
      <c r="V8" s="422"/>
      <c r="W8" s="545"/>
    </row>
    <row r="9" spans="1:23" x14ac:dyDescent="0.2">
      <c r="A9" s="146"/>
      <c r="B9" s="766"/>
      <c r="C9" s="550"/>
      <c r="D9" s="147"/>
      <c r="E9" s="154" t="s">
        <v>362</v>
      </c>
      <c r="F9" s="148" t="s">
        <v>292</v>
      </c>
      <c r="G9" s="387" t="s">
        <v>198</v>
      </c>
      <c r="H9" s="867"/>
      <c r="I9" s="872">
        <f>$I$7</f>
        <v>10</v>
      </c>
      <c r="J9" s="873">
        <v>1</v>
      </c>
      <c r="K9" s="151">
        <v>19.23</v>
      </c>
      <c r="L9" s="152">
        <f>(I9*J9)/K9</f>
        <v>0.52002080083203328</v>
      </c>
      <c r="M9" s="381">
        <f t="shared" ref="M9:M22" si="0">ROUNDUP(L9,0)</f>
        <v>1</v>
      </c>
      <c r="N9" s="1051">
        <f>ROUNDDOWN(M9/1,0)</f>
        <v>1</v>
      </c>
      <c r="O9" s="1052"/>
      <c r="P9" s="1053"/>
      <c r="R9" s="1076">
        <f>N9</f>
        <v>1</v>
      </c>
      <c r="S9" s="1077"/>
      <c r="T9" s="1078"/>
      <c r="U9" s="404">
        <f>(R9*1)+T9</f>
        <v>1</v>
      </c>
      <c r="V9" s="402">
        <f>U9*1</f>
        <v>1</v>
      </c>
      <c r="W9" s="546" t="s">
        <v>316</v>
      </c>
    </row>
    <row r="10" spans="1:23" x14ac:dyDescent="0.2">
      <c r="A10" s="146"/>
      <c r="B10" s="767"/>
      <c r="C10" s="551"/>
      <c r="D10" s="439"/>
      <c r="E10" s="424" t="s">
        <v>136</v>
      </c>
      <c r="F10" s="425"/>
      <c r="G10" s="426"/>
      <c r="H10" s="868"/>
      <c r="I10" s="874"/>
      <c r="J10" s="815"/>
      <c r="K10" s="427"/>
      <c r="L10" s="389"/>
      <c r="M10" s="428"/>
      <c r="N10" s="382"/>
      <c r="P10" s="520"/>
      <c r="R10" s="862"/>
      <c r="S10" s="406"/>
      <c r="T10" s="850"/>
      <c r="U10" s="521"/>
      <c r="V10" s="522"/>
      <c r="W10" s="385"/>
    </row>
    <row r="11" spans="1:23" ht="18" x14ac:dyDescent="0.2">
      <c r="A11" s="146"/>
      <c r="B11" s="766"/>
      <c r="C11" s="550"/>
      <c r="D11" s="147"/>
      <c r="E11" s="154" t="s">
        <v>410</v>
      </c>
      <c r="F11" s="148" t="s">
        <v>411</v>
      </c>
      <c r="G11" s="387" t="s">
        <v>5</v>
      </c>
      <c r="H11" s="867"/>
      <c r="I11" s="872">
        <f t="shared" ref="I11:I13" si="1">$I$7</f>
        <v>10</v>
      </c>
      <c r="J11" s="873">
        <v>1</v>
      </c>
      <c r="K11" s="975">
        <v>0.78125</v>
      </c>
      <c r="L11" s="152">
        <f t="shared" ref="L11" si="2">(I11*J11)/K11</f>
        <v>12.8</v>
      </c>
      <c r="M11" s="381">
        <f t="shared" ref="M11" si="3">ROUNDUP(L11,0)</f>
        <v>13</v>
      </c>
      <c r="N11" s="432">
        <f>ROUNDDOWN(M11/50,0)</f>
        <v>0</v>
      </c>
      <c r="O11" s="378" t="s">
        <v>193</v>
      </c>
      <c r="P11" s="433">
        <f>MOD(M11,50)</f>
        <v>13</v>
      </c>
      <c r="R11" s="848">
        <f>N11</f>
        <v>0</v>
      </c>
      <c r="S11" s="805" t="s">
        <v>193</v>
      </c>
      <c r="T11" s="849">
        <f>P11</f>
        <v>13</v>
      </c>
      <c r="U11" s="404">
        <f>(R11*50)+T11</f>
        <v>13</v>
      </c>
      <c r="V11" s="402">
        <f>U11*0.78125</f>
        <v>10.15625</v>
      </c>
      <c r="W11" s="546" t="s">
        <v>312</v>
      </c>
    </row>
    <row r="12" spans="1:23" x14ac:dyDescent="0.25">
      <c r="A12" s="156"/>
      <c r="B12" s="766"/>
      <c r="C12" s="550"/>
      <c r="D12" s="147"/>
      <c r="E12" s="154" t="s">
        <v>415</v>
      </c>
      <c r="F12" s="148" t="s">
        <v>83</v>
      </c>
      <c r="G12" s="387" t="s">
        <v>199</v>
      </c>
      <c r="H12" s="867"/>
      <c r="I12" s="872">
        <f t="shared" si="1"/>
        <v>10</v>
      </c>
      <c r="J12" s="873">
        <v>1</v>
      </c>
      <c r="K12" s="615">
        <v>5.6612318840579716</v>
      </c>
      <c r="L12" s="152">
        <f t="shared" ref="L12:L13" si="4">(I12*J12)/K12</f>
        <v>1.7663999999999997</v>
      </c>
      <c r="M12" s="381">
        <f t="shared" ref="M12:M13" si="5">ROUNDUP(L12,0)</f>
        <v>2</v>
      </c>
      <c r="N12" s="1051">
        <f>ROUNDDOWN(M12/1,0)</f>
        <v>2</v>
      </c>
      <c r="O12" s="1052"/>
      <c r="P12" s="1053"/>
      <c r="R12" s="1076">
        <f t="shared" ref="R12:R13" si="6">N12</f>
        <v>2</v>
      </c>
      <c r="S12" s="1077"/>
      <c r="T12" s="1078"/>
      <c r="U12" s="404">
        <f>(R12*1)+T12</f>
        <v>2</v>
      </c>
      <c r="V12" s="402">
        <f>U12</f>
        <v>2</v>
      </c>
      <c r="W12" s="546" t="s">
        <v>317</v>
      </c>
    </row>
    <row r="13" spans="1:23" ht="15.6" customHeight="1" x14ac:dyDescent="0.25">
      <c r="A13" s="156"/>
      <c r="B13" s="766"/>
      <c r="C13" s="550"/>
      <c r="D13" s="147"/>
      <c r="E13" s="154" t="s">
        <v>416</v>
      </c>
      <c r="F13" s="148" t="s">
        <v>83</v>
      </c>
      <c r="G13" s="387" t="s">
        <v>199</v>
      </c>
      <c r="H13" s="867"/>
      <c r="I13" s="872">
        <f t="shared" si="1"/>
        <v>10</v>
      </c>
      <c r="J13" s="873">
        <v>1</v>
      </c>
      <c r="K13" s="615">
        <v>3.3967391304347827</v>
      </c>
      <c r="L13" s="152">
        <f t="shared" si="4"/>
        <v>2.944</v>
      </c>
      <c r="M13" s="381">
        <f t="shared" si="5"/>
        <v>3</v>
      </c>
      <c r="N13" s="1051">
        <f>ROUNDDOWN(M13/1,0)</f>
        <v>3</v>
      </c>
      <c r="O13" s="1052"/>
      <c r="P13" s="1053"/>
      <c r="R13" s="1076">
        <f t="shared" si="6"/>
        <v>3</v>
      </c>
      <c r="S13" s="1077"/>
      <c r="T13" s="1078"/>
      <c r="U13" s="404">
        <f>(R13*1)+T13</f>
        <v>3</v>
      </c>
      <c r="V13" s="402">
        <f t="shared" ref="V13" si="7">U13</f>
        <v>3</v>
      </c>
      <c r="W13" s="546" t="s">
        <v>317</v>
      </c>
    </row>
    <row r="14" spans="1:23" x14ac:dyDescent="0.2">
      <c r="A14" s="157"/>
      <c r="B14" s="767"/>
      <c r="C14" s="549"/>
      <c r="D14" s="423"/>
      <c r="E14" s="424" t="s">
        <v>82</v>
      </c>
      <c r="F14" s="425"/>
      <c r="G14" s="426"/>
      <c r="H14" s="868"/>
      <c r="I14" s="874"/>
      <c r="J14" s="877"/>
      <c r="K14" s="427"/>
      <c r="L14" s="389"/>
      <c r="M14" s="428"/>
      <c r="N14" s="429"/>
      <c r="P14" s="430"/>
      <c r="R14" s="851"/>
      <c r="S14" s="852"/>
      <c r="T14" s="853"/>
      <c r="U14" s="385"/>
      <c r="V14" s="431"/>
      <c r="W14" s="385"/>
    </row>
    <row r="15" spans="1:23" ht="18" x14ac:dyDescent="0.2">
      <c r="A15" s="157"/>
      <c r="B15" s="766"/>
      <c r="C15" s="548"/>
      <c r="D15" s="166"/>
      <c r="E15" s="211" t="s">
        <v>288</v>
      </c>
      <c r="F15" s="148" t="s">
        <v>131</v>
      </c>
      <c r="G15" s="387" t="s">
        <v>5</v>
      </c>
      <c r="H15" s="867"/>
      <c r="I15" s="872">
        <f t="shared" ref="I15:I26" si="8">$I$7</f>
        <v>10</v>
      </c>
      <c r="J15" s="873">
        <v>1</v>
      </c>
      <c r="K15" s="976">
        <v>0.78125</v>
      </c>
      <c r="L15" s="152">
        <f t="shared" ref="L15:L22" si="9">(I15*J15)/K15</f>
        <v>12.8</v>
      </c>
      <c r="M15" s="381">
        <f t="shared" si="0"/>
        <v>13</v>
      </c>
      <c r="N15" s="432">
        <f>ROUNDDOWN(M15/60,0)</f>
        <v>0</v>
      </c>
      <c r="O15" s="378" t="s">
        <v>193</v>
      </c>
      <c r="P15" s="433">
        <f>MOD(M15,60)</f>
        <v>13</v>
      </c>
      <c r="R15" s="848">
        <f t="shared" ref="R15:R22" si="10">N15</f>
        <v>0</v>
      </c>
      <c r="S15" s="805" t="s">
        <v>193</v>
      </c>
      <c r="T15" s="849">
        <f>P15</f>
        <v>13</v>
      </c>
      <c r="U15" s="404">
        <f>(R15*60)+T15</f>
        <v>13</v>
      </c>
      <c r="V15" s="402">
        <f>U15*0.78125</f>
        <v>10.15625</v>
      </c>
      <c r="W15" s="546" t="s">
        <v>312</v>
      </c>
    </row>
    <row r="16" spans="1:23" ht="18" x14ac:dyDescent="0.2">
      <c r="A16" s="157"/>
      <c r="B16" s="766"/>
      <c r="C16" s="548"/>
      <c r="D16" s="166"/>
      <c r="E16" s="211" t="s">
        <v>289</v>
      </c>
      <c r="F16" s="148" t="s">
        <v>69</v>
      </c>
      <c r="G16" s="387" t="s">
        <v>5</v>
      </c>
      <c r="H16" s="867"/>
      <c r="I16" s="872">
        <f t="shared" si="8"/>
        <v>10</v>
      </c>
      <c r="J16" s="873">
        <v>1</v>
      </c>
      <c r="K16" s="976">
        <v>0.78125</v>
      </c>
      <c r="L16" s="152">
        <f t="shared" si="9"/>
        <v>12.8</v>
      </c>
      <c r="M16" s="381">
        <f t="shared" si="0"/>
        <v>13</v>
      </c>
      <c r="N16" s="432">
        <f>ROUNDDOWN(M16/40,0)</f>
        <v>0</v>
      </c>
      <c r="O16" s="378" t="s">
        <v>193</v>
      </c>
      <c r="P16" s="433">
        <f>MOD(M16,40)</f>
        <v>13</v>
      </c>
      <c r="R16" s="848">
        <f t="shared" si="10"/>
        <v>0</v>
      </c>
      <c r="S16" s="805" t="s">
        <v>193</v>
      </c>
      <c r="T16" s="849">
        <f>P16</f>
        <v>13</v>
      </c>
      <c r="U16" s="404">
        <f>(R16*40)+T16</f>
        <v>13</v>
      </c>
      <c r="V16" s="402">
        <f>U16*0.78125</f>
        <v>10.15625</v>
      </c>
      <c r="W16" s="546" t="s">
        <v>312</v>
      </c>
    </row>
    <row r="17" spans="1:23" x14ac:dyDescent="0.25">
      <c r="A17" s="157"/>
      <c r="B17" s="766"/>
      <c r="C17" s="548"/>
      <c r="D17" s="166"/>
      <c r="E17" s="154" t="s">
        <v>380</v>
      </c>
      <c r="F17" s="148" t="s">
        <v>85</v>
      </c>
      <c r="G17" s="387" t="s">
        <v>199</v>
      </c>
      <c r="H17" s="867"/>
      <c r="I17" s="872">
        <f t="shared" si="8"/>
        <v>10</v>
      </c>
      <c r="J17" s="873">
        <v>1</v>
      </c>
      <c r="K17" s="615">
        <v>5.6612318840579716</v>
      </c>
      <c r="L17" s="152">
        <f t="shared" si="9"/>
        <v>1.7663999999999997</v>
      </c>
      <c r="M17" s="381">
        <f t="shared" si="0"/>
        <v>2</v>
      </c>
      <c r="N17" s="1051">
        <f>ROUNDDOWN(M17/1,0)</f>
        <v>2</v>
      </c>
      <c r="O17" s="1052"/>
      <c r="P17" s="1053"/>
      <c r="R17" s="1076">
        <f t="shared" si="10"/>
        <v>2</v>
      </c>
      <c r="S17" s="1077"/>
      <c r="T17" s="1078"/>
      <c r="U17" s="404">
        <f>(R17*1)+T17</f>
        <v>2</v>
      </c>
      <c r="V17" s="402">
        <f>U17</f>
        <v>2</v>
      </c>
      <c r="W17" s="546" t="s">
        <v>317</v>
      </c>
    </row>
    <row r="18" spans="1:23" ht="15.2" customHeight="1" x14ac:dyDescent="0.25">
      <c r="A18" s="157"/>
      <c r="B18" s="766"/>
      <c r="C18" s="548"/>
      <c r="D18" s="166"/>
      <c r="E18" s="154" t="s">
        <v>381</v>
      </c>
      <c r="F18" s="148" t="s">
        <v>85</v>
      </c>
      <c r="G18" s="387" t="s">
        <v>199</v>
      </c>
      <c r="H18" s="867"/>
      <c r="I18" s="872">
        <f t="shared" si="8"/>
        <v>10</v>
      </c>
      <c r="J18" s="873">
        <v>1</v>
      </c>
      <c r="K18" s="615">
        <v>3.3967391304347827</v>
      </c>
      <c r="L18" s="152">
        <f t="shared" si="9"/>
        <v>2.944</v>
      </c>
      <c r="M18" s="381">
        <f t="shared" si="0"/>
        <v>3</v>
      </c>
      <c r="N18" s="1051">
        <f>ROUNDDOWN(M18/1,0)</f>
        <v>3</v>
      </c>
      <c r="O18" s="1052"/>
      <c r="P18" s="1053"/>
      <c r="R18" s="1076">
        <f t="shared" si="10"/>
        <v>3</v>
      </c>
      <c r="S18" s="1077"/>
      <c r="T18" s="1078"/>
      <c r="U18" s="404">
        <f>(R18*1)+T18</f>
        <v>3</v>
      </c>
      <c r="V18" s="402">
        <f>U18</f>
        <v>3</v>
      </c>
      <c r="W18" s="546" t="s">
        <v>317</v>
      </c>
    </row>
    <row r="19" spans="1:23" ht="15.2" customHeight="1" x14ac:dyDescent="0.25">
      <c r="A19" s="157"/>
      <c r="B19" s="767"/>
      <c r="C19" s="549"/>
      <c r="D19" s="423"/>
      <c r="E19" s="467" t="s">
        <v>50</v>
      </c>
      <c r="F19" s="425"/>
      <c r="G19" s="426"/>
      <c r="H19" s="868"/>
      <c r="I19" s="874"/>
      <c r="J19" s="877"/>
      <c r="K19" s="1025"/>
      <c r="L19" s="389"/>
      <c r="M19" s="428"/>
      <c r="N19" s="539"/>
      <c r="O19" s="473"/>
      <c r="P19" s="540"/>
      <c r="R19" s="851"/>
      <c r="S19" s="883"/>
      <c r="T19" s="884"/>
      <c r="U19" s="385"/>
      <c r="V19" s="431"/>
      <c r="W19" s="385"/>
    </row>
    <row r="20" spans="1:23" x14ac:dyDescent="0.2">
      <c r="A20" s="157"/>
      <c r="B20" s="766"/>
      <c r="C20" s="548"/>
      <c r="D20" s="166"/>
      <c r="E20" s="568" t="s">
        <v>359</v>
      </c>
      <c r="F20" s="148" t="s">
        <v>30</v>
      </c>
      <c r="G20" s="387" t="s">
        <v>190</v>
      </c>
      <c r="H20" s="867">
        <v>3</v>
      </c>
      <c r="I20" s="872">
        <f t="shared" si="8"/>
        <v>10</v>
      </c>
      <c r="J20" s="873">
        <v>1</v>
      </c>
      <c r="K20" s="151">
        <f>544/H20</f>
        <v>181.33333333333334</v>
      </c>
      <c r="L20" s="152">
        <f t="shared" si="9"/>
        <v>5.514705882352941E-2</v>
      </c>
      <c r="M20" s="381">
        <f t="shared" si="0"/>
        <v>1</v>
      </c>
      <c r="N20" s="1051">
        <f>ROUNDDOWN(M20/1,0)</f>
        <v>1</v>
      </c>
      <c r="O20" s="1052"/>
      <c r="P20" s="1053"/>
      <c r="Q20" s="386"/>
      <c r="R20" s="1076">
        <f t="shared" si="10"/>
        <v>1</v>
      </c>
      <c r="S20" s="1077"/>
      <c r="T20" s="1078"/>
      <c r="U20" s="404">
        <f>(R20*1)+T20</f>
        <v>1</v>
      </c>
      <c r="V20" s="402">
        <f>U20</f>
        <v>1</v>
      </c>
      <c r="W20" s="546" t="s">
        <v>261</v>
      </c>
    </row>
    <row r="21" spans="1:23" x14ac:dyDescent="0.2">
      <c r="A21" s="157"/>
      <c r="B21" s="766"/>
      <c r="C21" s="548"/>
      <c r="D21" s="166"/>
      <c r="E21" s="568" t="s">
        <v>283</v>
      </c>
      <c r="F21" s="148" t="s">
        <v>29</v>
      </c>
      <c r="G21" s="387" t="s">
        <v>3</v>
      </c>
      <c r="H21" s="867">
        <v>3</v>
      </c>
      <c r="I21" s="872">
        <f t="shared" si="8"/>
        <v>10</v>
      </c>
      <c r="J21" s="873">
        <v>1</v>
      </c>
      <c r="K21" s="151">
        <f>17/H21</f>
        <v>5.666666666666667</v>
      </c>
      <c r="L21" s="152">
        <f t="shared" si="9"/>
        <v>1.7647058823529411</v>
      </c>
      <c r="M21" s="381">
        <f t="shared" si="0"/>
        <v>2</v>
      </c>
      <c r="N21" s="432">
        <f>ROUNDDOWN(M21/48,0)</f>
        <v>0</v>
      </c>
      <c r="O21" s="378" t="s">
        <v>193</v>
      </c>
      <c r="P21" s="433">
        <f>MOD(M21,48)</f>
        <v>2</v>
      </c>
      <c r="R21" s="848">
        <f t="shared" si="10"/>
        <v>0</v>
      </c>
      <c r="S21" s="805" t="s">
        <v>193</v>
      </c>
      <c r="T21" s="849">
        <f>P21</f>
        <v>2</v>
      </c>
      <c r="U21" s="404">
        <f>(R21*48)+T21</f>
        <v>2</v>
      </c>
      <c r="V21" s="402">
        <f>U21</f>
        <v>2</v>
      </c>
      <c r="W21" s="546" t="s">
        <v>3</v>
      </c>
    </row>
    <row r="22" spans="1:23" x14ac:dyDescent="0.2">
      <c r="A22" s="155"/>
      <c r="B22" s="766"/>
      <c r="C22" s="550"/>
      <c r="D22" s="147"/>
      <c r="E22" s="154" t="s">
        <v>294</v>
      </c>
      <c r="F22" s="148" t="s">
        <v>84</v>
      </c>
      <c r="G22" s="387" t="s">
        <v>3</v>
      </c>
      <c r="H22" s="867">
        <v>3</v>
      </c>
      <c r="I22" s="872">
        <f t="shared" si="8"/>
        <v>10</v>
      </c>
      <c r="J22" s="873">
        <v>1</v>
      </c>
      <c r="K22" s="151">
        <f>17/H22</f>
        <v>5.666666666666667</v>
      </c>
      <c r="L22" s="152">
        <f t="shared" si="9"/>
        <v>1.7647058823529411</v>
      </c>
      <c r="M22" s="381">
        <f t="shared" si="0"/>
        <v>2</v>
      </c>
      <c r="N22" s="432">
        <f>ROUNDDOWN(M22/48,0)</f>
        <v>0</v>
      </c>
      <c r="O22" s="378" t="s">
        <v>193</v>
      </c>
      <c r="P22" s="433">
        <f>MOD(M22,48)</f>
        <v>2</v>
      </c>
      <c r="R22" s="848">
        <f t="shared" si="10"/>
        <v>0</v>
      </c>
      <c r="S22" s="805" t="s">
        <v>193</v>
      </c>
      <c r="T22" s="849">
        <f>P22</f>
        <v>2</v>
      </c>
      <c r="U22" s="404">
        <f>(R22*48)+T22</f>
        <v>2</v>
      </c>
      <c r="V22" s="402">
        <f t="shared" ref="V22" si="11">U22</f>
        <v>2</v>
      </c>
      <c r="W22" s="546" t="s">
        <v>3</v>
      </c>
    </row>
    <row r="23" spans="1:23" ht="18" x14ac:dyDescent="0.2">
      <c r="A23" s="157"/>
      <c r="B23" s="766"/>
      <c r="C23" s="629"/>
      <c r="D23" s="208"/>
      <c r="E23" s="85" t="s">
        <v>365</v>
      </c>
      <c r="F23" s="207" t="s">
        <v>134</v>
      </c>
      <c r="G23" s="388" t="s">
        <v>198</v>
      </c>
      <c r="H23" s="869"/>
      <c r="I23" s="875">
        <f t="shared" si="8"/>
        <v>10</v>
      </c>
      <c r="J23" s="876">
        <v>1</v>
      </c>
      <c r="K23" s="88">
        <v>90</v>
      </c>
      <c r="L23" s="152">
        <f>(I23*J23)/K23</f>
        <v>0.1111111111111111</v>
      </c>
      <c r="M23" s="381">
        <f>ROUNDUP(L23,0)</f>
        <v>1</v>
      </c>
      <c r="N23" s="1051">
        <f>ROUNDDOWN(M23/1,0)</f>
        <v>1</v>
      </c>
      <c r="O23" s="1052"/>
      <c r="P23" s="1053"/>
      <c r="R23" s="1076">
        <f>N23</f>
        <v>1</v>
      </c>
      <c r="S23" s="1077"/>
      <c r="T23" s="1078"/>
      <c r="U23" s="404">
        <f>(R23*1)+T23</f>
        <v>1</v>
      </c>
      <c r="V23" s="402">
        <f>U23*100</f>
        <v>100</v>
      </c>
      <c r="W23" s="546" t="s">
        <v>312</v>
      </c>
    </row>
    <row r="24" spans="1:23" ht="18" x14ac:dyDescent="0.2">
      <c r="A24" s="157"/>
      <c r="B24" s="766"/>
      <c r="C24" s="629"/>
      <c r="D24" s="208"/>
      <c r="E24" s="85" t="s">
        <v>366</v>
      </c>
      <c r="F24" s="207" t="s">
        <v>135</v>
      </c>
      <c r="G24" s="388" t="s">
        <v>198</v>
      </c>
      <c r="H24" s="867"/>
      <c r="I24" s="872">
        <f t="shared" si="8"/>
        <v>10</v>
      </c>
      <c r="J24" s="876">
        <v>1</v>
      </c>
      <c r="K24" s="210">
        <v>31.5</v>
      </c>
      <c r="L24" s="152">
        <f>(I24*J24)/K24</f>
        <v>0.31746031746031744</v>
      </c>
      <c r="M24" s="381">
        <f>ROUNDUP(L24,0)</f>
        <v>1</v>
      </c>
      <c r="N24" s="1051">
        <f>ROUNDDOWN(M24/1,0)</f>
        <v>1</v>
      </c>
      <c r="O24" s="1052"/>
      <c r="P24" s="1053"/>
      <c r="R24" s="1076">
        <f>N24</f>
        <v>1</v>
      </c>
      <c r="S24" s="1077"/>
      <c r="T24" s="1078"/>
      <c r="U24" s="404">
        <f>(R24*1)+T24</f>
        <v>1</v>
      </c>
      <c r="V24" s="402">
        <f>U24*35</f>
        <v>35</v>
      </c>
      <c r="W24" s="546" t="s">
        <v>312</v>
      </c>
    </row>
    <row r="25" spans="1:23" x14ac:dyDescent="0.2">
      <c r="A25" s="157"/>
      <c r="B25" s="771"/>
      <c r="C25" s="631"/>
      <c r="D25" s="523"/>
      <c r="E25" s="527" t="s">
        <v>290</v>
      </c>
      <c r="F25" s="524"/>
      <c r="G25" s="525"/>
      <c r="H25" s="870"/>
      <c r="I25" s="878"/>
      <c r="J25" s="879"/>
      <c r="K25" s="359"/>
      <c r="L25" s="389"/>
      <c r="M25" s="428"/>
      <c r="N25" s="539"/>
      <c r="O25" s="473"/>
      <c r="P25" s="540"/>
      <c r="R25" s="851"/>
      <c r="S25" s="883"/>
      <c r="T25" s="884"/>
      <c r="U25" s="385"/>
      <c r="V25" s="431"/>
      <c r="W25" s="385"/>
    </row>
    <row r="26" spans="1:23" x14ac:dyDescent="0.2">
      <c r="A26" s="157"/>
      <c r="B26" s="768"/>
      <c r="C26" s="632"/>
      <c r="D26" s="622"/>
      <c r="E26" s="623" t="s">
        <v>382</v>
      </c>
      <c r="F26" s="882" t="s">
        <v>318</v>
      </c>
      <c r="G26" s="624" t="s">
        <v>191</v>
      </c>
      <c r="H26" s="871"/>
      <c r="I26" s="880">
        <f t="shared" si="8"/>
        <v>10</v>
      </c>
      <c r="J26" s="881">
        <v>1</v>
      </c>
      <c r="K26" s="455">
        <v>19.23</v>
      </c>
      <c r="L26" s="447">
        <f>(I26*J26)/K26</f>
        <v>0.52002080083203328</v>
      </c>
      <c r="M26" s="399">
        <f>ROUNDUP(L26,0)</f>
        <v>1</v>
      </c>
      <c r="N26" s="1094">
        <f>ROUNDDOWN(M26/1,0)</f>
        <v>1</v>
      </c>
      <c r="O26" s="1095"/>
      <c r="P26" s="1096"/>
      <c r="Q26" s="600"/>
      <c r="R26" s="1097">
        <f>N26</f>
        <v>1</v>
      </c>
      <c r="S26" s="1098"/>
      <c r="T26" s="1099"/>
      <c r="U26" s="377">
        <f>(R26*1)+T26</f>
        <v>1</v>
      </c>
      <c r="V26" s="601">
        <f>U26*1</f>
        <v>1</v>
      </c>
      <c r="W26" s="547" t="s">
        <v>309</v>
      </c>
    </row>
    <row r="27" spans="1:23" x14ac:dyDescent="0.2">
      <c r="A27" s="157"/>
      <c r="B27" s="711" t="s">
        <v>128</v>
      </c>
      <c r="C27" s="217"/>
      <c r="D27" s="217"/>
      <c r="E27" s="298"/>
      <c r="F27" s="299"/>
      <c r="G27" s="213"/>
      <c r="H27" s="300"/>
      <c r="I27" s="300"/>
      <c r="J27" s="297"/>
      <c r="K27" s="213"/>
      <c r="L27" s="405"/>
    </row>
    <row r="28" spans="1:23" x14ac:dyDescent="0.2">
      <c r="A28" s="157"/>
      <c r="B28" s="215"/>
      <c r="C28" s="215"/>
      <c r="D28" s="215"/>
      <c r="E28" s="298"/>
      <c r="F28" s="299"/>
      <c r="G28" s="213"/>
      <c r="H28" s="300"/>
      <c r="I28" s="300"/>
      <c r="J28" s="297"/>
      <c r="K28" s="213"/>
      <c r="L28" s="143"/>
    </row>
    <row r="29" spans="1:23" s="3" customFormat="1" x14ac:dyDescent="0.2">
      <c r="A29" s="76"/>
      <c r="B29" s="160" t="s">
        <v>42</v>
      </c>
      <c r="C29" s="160"/>
      <c r="D29" s="160"/>
      <c r="E29" s="161"/>
      <c r="F29" s="406"/>
      <c r="G29" s="407"/>
      <c r="H29" s="408"/>
      <c r="I29" s="409"/>
      <c r="J29" s="406"/>
      <c r="K29" s="408"/>
      <c r="L29" s="143"/>
      <c r="M29" s="134"/>
      <c r="N29" s="124"/>
      <c r="O29" s="376"/>
      <c r="P29" s="124"/>
      <c r="Q29" s="124"/>
      <c r="R29" s="124"/>
      <c r="S29" s="376"/>
      <c r="T29" s="124"/>
      <c r="U29" s="124"/>
    </row>
    <row r="30" spans="1:23" x14ac:dyDescent="0.2">
      <c r="A30" s="157"/>
      <c r="B30" s="160"/>
      <c r="C30" s="160"/>
      <c r="D30" s="160"/>
      <c r="E30" s="161"/>
      <c r="F30" s="406"/>
      <c r="G30" s="407"/>
      <c r="H30" s="408"/>
      <c r="I30" s="409"/>
      <c r="J30" s="406"/>
      <c r="K30" s="408"/>
    </row>
    <row r="31" spans="1:23" x14ac:dyDescent="0.2">
      <c r="A31" s="157"/>
      <c r="B31" s="160"/>
      <c r="C31" s="160"/>
      <c r="D31" s="160"/>
      <c r="E31" s="161"/>
      <c r="F31" s="406"/>
      <c r="G31" s="407"/>
      <c r="H31" s="408"/>
      <c r="I31" s="409"/>
      <c r="J31" s="406"/>
      <c r="K31" s="408"/>
    </row>
    <row r="32" spans="1:23" x14ac:dyDescent="0.2">
      <c r="A32" s="157"/>
      <c r="B32" s="160"/>
      <c r="C32" s="160"/>
      <c r="D32" s="160"/>
      <c r="E32" s="804"/>
      <c r="F32" s="392"/>
      <c r="G32" s="410"/>
      <c r="H32" s="411"/>
      <c r="I32" s="124"/>
      <c r="J32" s="376"/>
      <c r="K32" s="410"/>
    </row>
    <row r="33" spans="1:11" x14ac:dyDescent="0.2">
      <c r="A33" s="157"/>
      <c r="B33" s="160"/>
      <c r="C33" s="160"/>
      <c r="D33" s="160"/>
      <c r="E33" s="804"/>
      <c r="F33" s="392"/>
      <c r="G33" s="410"/>
      <c r="H33" s="411"/>
      <c r="I33" s="124"/>
      <c r="J33" s="376"/>
      <c r="K33" s="410"/>
    </row>
    <row r="34" spans="1:11" x14ac:dyDescent="0.2">
      <c r="A34" s="290"/>
      <c r="B34" s="1029"/>
      <c r="C34" s="1029"/>
      <c r="D34" s="1029"/>
      <c r="E34" s="1030"/>
      <c r="F34" s="1031"/>
      <c r="G34" s="301"/>
      <c r="H34" s="1032"/>
      <c r="I34" s="1032"/>
      <c r="J34" s="1033"/>
      <c r="K34" s="1034"/>
    </row>
    <row r="35" spans="1:11" x14ac:dyDescent="0.2">
      <c r="A35" s="295"/>
      <c r="B35" s="1035"/>
      <c r="C35" s="1035"/>
      <c r="D35" s="1035"/>
      <c r="E35" s="1036"/>
      <c r="F35" s="1031"/>
      <c r="G35" s="301"/>
      <c r="H35" s="1032"/>
      <c r="I35" s="1032"/>
      <c r="J35" s="1033"/>
      <c r="K35" s="1034"/>
    </row>
    <row r="36" spans="1:11" x14ac:dyDescent="0.2">
      <c r="A36" s="295"/>
      <c r="B36" s="124"/>
      <c r="C36" s="124"/>
      <c r="D36" s="124"/>
      <c r="E36" s="124"/>
      <c r="F36" s="124"/>
      <c r="G36" s="124"/>
      <c r="H36" s="1032"/>
      <c r="I36" s="1032"/>
      <c r="J36" s="124"/>
      <c r="K36" s="1034"/>
    </row>
    <row r="37" spans="1:11" x14ac:dyDescent="0.2">
      <c r="A37" s="295"/>
      <c r="B37" s="1029"/>
      <c r="C37" s="1029"/>
      <c r="D37" s="1029"/>
      <c r="E37" s="1036"/>
      <c r="F37" s="1031"/>
      <c r="G37" s="301"/>
      <c r="H37" s="1032"/>
      <c r="I37" s="1032"/>
      <c r="J37" s="1033"/>
      <c r="K37" s="1034"/>
    </row>
    <row r="38" spans="1:11" x14ac:dyDescent="0.2">
      <c r="A38" s="296"/>
      <c r="B38" s="1035"/>
      <c r="C38" s="1035"/>
      <c r="D38" s="1035"/>
      <c r="E38" s="1036"/>
      <c r="F38" s="1031"/>
      <c r="G38" s="301"/>
      <c r="H38" s="1032"/>
      <c r="I38" s="1032"/>
      <c r="J38" s="1033"/>
      <c r="K38" s="1034"/>
    </row>
    <row r="39" spans="1:11" x14ac:dyDescent="0.2">
      <c r="A39" s="296"/>
      <c r="B39" s="1029"/>
      <c r="C39" s="1029"/>
      <c r="D39" s="1029"/>
      <c r="E39" s="1036"/>
      <c r="F39" s="1031"/>
      <c r="G39" s="301"/>
      <c r="H39" s="1032"/>
      <c r="I39" s="1032"/>
      <c r="J39" s="1033"/>
      <c r="K39" s="1034"/>
    </row>
    <row r="40" spans="1:11" x14ac:dyDescent="0.2">
      <c r="A40" s="296"/>
      <c r="B40" s="1035"/>
      <c r="C40" s="1035"/>
      <c r="D40" s="1035"/>
      <c r="E40" s="1036"/>
      <c r="F40" s="1031"/>
      <c r="G40" s="301"/>
      <c r="H40" s="1032"/>
      <c r="I40" s="1032"/>
      <c r="J40" s="1033"/>
      <c r="K40" s="1034"/>
    </row>
    <row r="41" spans="1:11" x14ac:dyDescent="0.2">
      <c r="B41" s="376"/>
      <c r="C41" s="376"/>
      <c r="D41" s="376"/>
      <c r="E41" s="390"/>
      <c r="F41" s="392"/>
      <c r="G41" s="410"/>
      <c r="H41" s="410"/>
      <c r="I41" s="329"/>
      <c r="J41" s="376"/>
      <c r="K41" s="410"/>
    </row>
  </sheetData>
  <sheetProtection insertRows="0"/>
  <protectedRanges>
    <protectedRange sqref="B1:D1" name="Bereich1_1_1_1_1_1_1_1_1"/>
    <protectedRange sqref="B2:D3 A1:A5" name="Bereich1_1_1_1_1_1_1_1"/>
    <protectedRange sqref="C4:D4 E1:K4" name="Bereich1_1_1_1_1_1_1_1_5"/>
    <protectedRange sqref="A6" name="Bereich1_1_1_1_1_1_1_1_4_1"/>
    <protectedRange sqref="E5:K5" name="Bereich1_1_1_1_1_1_1_1_3_1"/>
    <protectedRange sqref="B5:D5" name="Bereich1_1_1_1_1_1_1_1_3_1_1"/>
    <protectedRange sqref="L1:L4" name="Bereich1_1_1_1_1_1_1_1_5_1"/>
    <protectedRange sqref="U5 L5:M5" name="Bereich1_1_1_1_1_1_1_1_3_1_2"/>
  </protectedRanges>
  <mergeCells count="35">
    <mergeCell ref="B5:B6"/>
    <mergeCell ref="H5:H6"/>
    <mergeCell ref="L5:L6"/>
    <mergeCell ref="K5:K6"/>
    <mergeCell ref="J5:J6"/>
    <mergeCell ref="I5:I6"/>
    <mergeCell ref="V5:V6"/>
    <mergeCell ref="N13:P13"/>
    <mergeCell ref="W5:W6"/>
    <mergeCell ref="D5:D6"/>
    <mergeCell ref="C5:C6"/>
    <mergeCell ref="M5:M6"/>
    <mergeCell ref="G5:G6"/>
    <mergeCell ref="F5:F6"/>
    <mergeCell ref="E5:E6"/>
    <mergeCell ref="U5:U6"/>
    <mergeCell ref="R5:T5"/>
    <mergeCell ref="N12:P12"/>
    <mergeCell ref="N5:P5"/>
    <mergeCell ref="R12:T12"/>
    <mergeCell ref="N20:P20"/>
    <mergeCell ref="N9:P9"/>
    <mergeCell ref="R9:T9"/>
    <mergeCell ref="R13:T13"/>
    <mergeCell ref="R20:T20"/>
    <mergeCell ref="R18:T18"/>
    <mergeCell ref="R17:T17"/>
    <mergeCell ref="N17:P17"/>
    <mergeCell ref="N18:P18"/>
    <mergeCell ref="N23:P23"/>
    <mergeCell ref="R23:T23"/>
    <mergeCell ref="N26:P26"/>
    <mergeCell ref="R26:T26"/>
    <mergeCell ref="N24:P24"/>
    <mergeCell ref="R24:T24"/>
  </mergeCell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121C6-ECFB-493B-AAC9-114462441E73}">
  <sheetPr>
    <pageSetUpPr fitToPage="1"/>
  </sheetPr>
  <dimension ref="A1:W38"/>
  <sheetViews>
    <sheetView zoomScaleNormal="100" workbookViewId="0">
      <selection activeCell="I29" sqref="I29"/>
    </sheetView>
  </sheetViews>
  <sheetFormatPr baseColWidth="10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52.28515625" style="36" customWidth="1"/>
    <col min="6" max="6" width="7.7109375" style="37" bestFit="1" customWidth="1"/>
    <col min="7" max="7" width="10.5703125" style="31" customWidth="1"/>
    <col min="8" max="9" width="10.7109375" style="28" customWidth="1"/>
    <col min="10" max="10" width="9.28515625" style="33" customWidth="1"/>
    <col min="11" max="11" width="14.140625" style="31" customWidth="1"/>
    <col min="12" max="12" width="10.7109375" style="30" customWidth="1"/>
    <col min="13" max="13" width="10" style="78" bestFit="1" customWidth="1"/>
    <col min="14" max="14" width="8.7109375" style="3" customWidth="1"/>
    <col min="15" max="15" width="2.140625" style="3" customWidth="1"/>
    <col min="16" max="16" width="5.140625" style="3" customWidth="1"/>
    <col min="17" max="17" width="3.28515625" style="3" customWidth="1"/>
    <col min="18" max="18" width="9" style="3" customWidth="1"/>
    <col min="19" max="19" width="2.140625" style="3" customWidth="1"/>
    <col min="20" max="20" width="5.140625" style="3" customWidth="1"/>
    <col min="21" max="21" width="10.28515625" style="3" customWidth="1"/>
    <col min="22" max="22" width="7.28515625" style="3" customWidth="1"/>
    <col min="23" max="23" width="13.42578125" style="3" customWidth="1"/>
    <col min="24" max="16384" width="11.42578125" style="3"/>
  </cols>
  <sheetData>
    <row r="1" spans="1:23" x14ac:dyDescent="0.25">
      <c r="A1" s="93"/>
      <c r="B1" s="92" t="s">
        <v>157</v>
      </c>
      <c r="C1" s="92"/>
      <c r="D1" s="92"/>
      <c r="E1" s="96"/>
      <c r="F1" s="97"/>
      <c r="G1" s="98"/>
      <c r="H1" s="99"/>
      <c r="I1" s="99"/>
      <c r="J1" s="95"/>
      <c r="K1" s="98"/>
      <c r="L1" s="101"/>
      <c r="M1" s="103"/>
    </row>
    <row r="2" spans="1:23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99"/>
      <c r="J2" s="95"/>
      <c r="K2" s="98"/>
      <c r="L2" s="101"/>
      <c r="M2" s="103"/>
    </row>
    <row r="3" spans="1:23" ht="23.25" x14ac:dyDescent="0.2">
      <c r="A3"/>
      <c r="B3" s="39" t="s">
        <v>100</v>
      </c>
    </row>
    <row r="4" spans="1:23" s="4" customFormat="1" ht="28.5" customHeight="1" x14ac:dyDescent="0.2">
      <c r="A4" s="6"/>
      <c r="B4" s="1068" t="s">
        <v>185</v>
      </c>
      <c r="C4" s="1069" t="s">
        <v>183</v>
      </c>
      <c r="D4" s="1068" t="s">
        <v>184</v>
      </c>
      <c r="E4" s="1067" t="s">
        <v>0</v>
      </c>
      <c r="F4" s="1070" t="s">
        <v>1</v>
      </c>
      <c r="G4" s="1101" t="s">
        <v>196</v>
      </c>
      <c r="H4" s="1073" t="s">
        <v>201</v>
      </c>
      <c r="I4" s="1083" t="s">
        <v>189</v>
      </c>
      <c r="J4" s="1068" t="s">
        <v>17</v>
      </c>
      <c r="K4" s="1067" t="s">
        <v>197</v>
      </c>
      <c r="L4" s="1058" t="s">
        <v>32</v>
      </c>
      <c r="M4" s="1061" t="s">
        <v>192</v>
      </c>
      <c r="N4" s="1081" t="s">
        <v>196</v>
      </c>
      <c r="O4" s="1062"/>
      <c r="P4" s="1063"/>
      <c r="Q4" s="541"/>
      <c r="R4" s="1064" t="s">
        <v>202</v>
      </c>
      <c r="S4" s="1065"/>
      <c r="T4" s="1066"/>
      <c r="U4" s="1058" t="s">
        <v>32</v>
      </c>
      <c r="V4" s="1059" t="s">
        <v>200</v>
      </c>
      <c r="W4" s="1057" t="s">
        <v>368</v>
      </c>
    </row>
    <row r="5" spans="1:23" ht="32.25" thickBot="1" x14ac:dyDescent="0.25">
      <c r="A5" s="80"/>
      <c r="B5" s="1068"/>
      <c r="C5" s="1069"/>
      <c r="D5" s="1068"/>
      <c r="E5" s="1067"/>
      <c r="F5" s="1070"/>
      <c r="G5" s="1102"/>
      <c r="H5" s="1073"/>
      <c r="I5" s="1084"/>
      <c r="J5" s="1068"/>
      <c r="K5" s="1067"/>
      <c r="L5" s="1058"/>
      <c r="M5" s="1061"/>
      <c r="N5" s="558" t="s">
        <v>195</v>
      </c>
      <c r="O5" s="559"/>
      <c r="P5" s="560" t="s">
        <v>194</v>
      </c>
      <c r="Q5" s="139"/>
      <c r="R5" s="397" t="s">
        <v>195</v>
      </c>
      <c r="S5" s="403" t="s">
        <v>193</v>
      </c>
      <c r="T5" s="398" t="s">
        <v>194</v>
      </c>
      <c r="U5" s="1058"/>
      <c r="V5" s="1059"/>
      <c r="W5" s="1057"/>
    </row>
    <row r="6" spans="1:23" ht="33" customHeight="1" thickTop="1" thickBot="1" x14ac:dyDescent="0.25">
      <c r="A6" s="81"/>
      <c r="B6" s="330"/>
      <c r="C6" s="347"/>
      <c r="D6" s="347"/>
      <c r="E6" s="347"/>
      <c r="F6" s="354"/>
      <c r="G6" s="355"/>
      <c r="H6" s="466"/>
      <c r="I6" s="444">
        <v>120</v>
      </c>
      <c r="J6" s="347"/>
      <c r="K6" s="356"/>
      <c r="L6" s="357"/>
      <c r="M6" s="358"/>
      <c r="N6" s="124"/>
      <c r="O6" s="376"/>
      <c r="P6" s="142"/>
      <c r="Q6" s="124"/>
      <c r="R6" s="124"/>
      <c r="S6" s="376"/>
      <c r="T6" s="124"/>
      <c r="U6" s="390"/>
      <c r="V6" s="390"/>
    </row>
    <row r="7" spans="1:23" ht="16.5" thickTop="1" x14ac:dyDescent="0.2">
      <c r="A7" s="82"/>
      <c r="B7" s="773"/>
      <c r="C7" s="626"/>
      <c r="D7" s="457"/>
      <c r="E7" s="458" t="s">
        <v>86</v>
      </c>
      <c r="F7" s="459"/>
      <c r="G7" s="460"/>
      <c r="H7" s="644"/>
      <c r="I7" s="468"/>
      <c r="J7" s="461"/>
      <c r="K7" s="462"/>
      <c r="L7" s="463"/>
      <c r="M7" s="464"/>
      <c r="N7" s="645"/>
      <c r="O7" s="418"/>
      <c r="P7" s="646"/>
      <c r="Q7" s="385"/>
      <c r="R7" s="647"/>
      <c r="S7" s="648"/>
      <c r="T7" s="649"/>
      <c r="U7" s="545"/>
      <c r="V7" s="650"/>
      <c r="W7" s="651"/>
    </row>
    <row r="8" spans="1:23" ht="18" x14ac:dyDescent="0.25">
      <c r="A8" s="34"/>
      <c r="B8" s="769"/>
      <c r="C8" s="627"/>
      <c r="D8" s="48"/>
      <c r="E8" s="86" t="s">
        <v>293</v>
      </c>
      <c r="F8" s="75" t="s">
        <v>88</v>
      </c>
      <c r="G8" s="87" t="s">
        <v>5</v>
      </c>
      <c r="H8" s="875"/>
      <c r="I8" s="896">
        <f t="shared" ref="I8:I10" si="0">$I$6</f>
        <v>120</v>
      </c>
      <c r="J8" s="838">
        <v>1</v>
      </c>
      <c r="K8" s="314">
        <v>0.78009749999999989</v>
      </c>
      <c r="L8" s="79">
        <f>(I8*J8)/K8</f>
        <v>153.82692548046882</v>
      </c>
      <c r="M8" s="89">
        <f>ROUNDUP(L8,0)</f>
        <v>154</v>
      </c>
      <c r="N8" s="432">
        <f>ROUNDDOWN(M8/112,0)</f>
        <v>1</v>
      </c>
      <c r="O8" s="378" t="s">
        <v>193</v>
      </c>
      <c r="P8" s="433">
        <f>MOD(M8,112)</f>
        <v>42</v>
      </c>
      <c r="Q8" s="124"/>
      <c r="R8" s="848">
        <f>N8</f>
        <v>1</v>
      </c>
      <c r="S8" s="805" t="s">
        <v>193</v>
      </c>
      <c r="T8" s="849">
        <f>P8</f>
        <v>42</v>
      </c>
      <c r="U8" s="404">
        <f>(R8*112)+T8</f>
        <v>154</v>
      </c>
      <c r="V8" s="402">
        <f>U8*0.81</f>
        <v>124.74000000000001</v>
      </c>
      <c r="W8" s="546" t="s">
        <v>312</v>
      </c>
    </row>
    <row r="9" spans="1:23" x14ac:dyDescent="0.25">
      <c r="A9" s="34"/>
      <c r="B9" s="769"/>
      <c r="C9" s="627"/>
      <c r="D9" s="48"/>
      <c r="E9" s="212" t="s">
        <v>383</v>
      </c>
      <c r="F9" s="73" t="s">
        <v>83</v>
      </c>
      <c r="G9" s="87" t="s">
        <v>199</v>
      </c>
      <c r="H9" s="875"/>
      <c r="I9" s="896">
        <f t="shared" si="0"/>
        <v>120</v>
      </c>
      <c r="J9" s="838">
        <v>1</v>
      </c>
      <c r="K9" s="314">
        <v>4.54</v>
      </c>
      <c r="L9" s="79">
        <f>(I9*J9)/K9</f>
        <v>26.431718061674008</v>
      </c>
      <c r="M9" s="89">
        <f t="shared" ref="M9:M16" si="1">ROUNDUP(L9,0)</f>
        <v>27</v>
      </c>
      <c r="N9" s="1051">
        <f>ROUNDDOWN(M9/1,0)</f>
        <v>27</v>
      </c>
      <c r="O9" s="1052"/>
      <c r="P9" s="1053"/>
      <c r="Q9" s="124"/>
      <c r="R9" s="1076">
        <f>N9</f>
        <v>27</v>
      </c>
      <c r="S9" s="1077"/>
      <c r="T9" s="1078"/>
      <c r="U9" s="404">
        <f t="shared" ref="U9:U14" si="2">(R9*1)+T9</f>
        <v>27</v>
      </c>
      <c r="V9" s="402">
        <f>U9</f>
        <v>27</v>
      </c>
      <c r="W9" s="546" t="s">
        <v>317</v>
      </c>
    </row>
    <row r="10" spans="1:23" ht="15.6" customHeight="1" x14ac:dyDescent="0.2">
      <c r="A10" s="81"/>
      <c r="B10" s="769"/>
      <c r="C10" s="627"/>
      <c r="D10" s="48"/>
      <c r="E10" s="212" t="s">
        <v>384</v>
      </c>
      <c r="F10" s="73" t="s">
        <v>83</v>
      </c>
      <c r="G10" s="87" t="s">
        <v>199</v>
      </c>
      <c r="H10" s="875"/>
      <c r="I10" s="896">
        <f t="shared" si="0"/>
        <v>120</v>
      </c>
      <c r="J10" s="838">
        <v>1</v>
      </c>
      <c r="K10" s="88">
        <v>3.63</v>
      </c>
      <c r="L10" s="79">
        <f t="shared" ref="L10:L16" si="3">(I10*J10)/K10</f>
        <v>33.057851239669425</v>
      </c>
      <c r="M10" s="89">
        <f t="shared" si="1"/>
        <v>34</v>
      </c>
      <c r="N10" s="1051">
        <f>ROUNDDOWN(M10/1,0)</f>
        <v>34</v>
      </c>
      <c r="O10" s="1052"/>
      <c r="P10" s="1053"/>
      <c r="Q10" s="124"/>
      <c r="R10" s="1076">
        <f>N10</f>
        <v>34</v>
      </c>
      <c r="S10" s="1077"/>
      <c r="T10" s="1078"/>
      <c r="U10" s="404">
        <f t="shared" si="2"/>
        <v>34</v>
      </c>
      <c r="V10" s="402">
        <f>U10</f>
        <v>34</v>
      </c>
      <c r="W10" s="546" t="s">
        <v>317</v>
      </c>
    </row>
    <row r="11" spans="1:23" x14ac:dyDescent="0.2">
      <c r="A11" s="76"/>
      <c r="B11" s="771"/>
      <c r="C11" s="628"/>
      <c r="D11" s="471"/>
      <c r="E11" s="467" t="s">
        <v>87</v>
      </c>
      <c r="F11" s="641"/>
      <c r="G11" s="642"/>
      <c r="H11" s="898"/>
      <c r="I11" s="878"/>
      <c r="J11" s="899"/>
      <c r="K11" s="642"/>
      <c r="L11" s="469"/>
      <c r="M11" s="470"/>
      <c r="N11" s="1085"/>
      <c r="O11" s="1086"/>
      <c r="P11" s="1087"/>
      <c r="Q11" s="124"/>
      <c r="R11" s="1091"/>
      <c r="S11" s="1092"/>
      <c r="T11" s="1093"/>
      <c r="U11" s="385"/>
      <c r="V11" s="431"/>
      <c r="W11" s="652"/>
    </row>
    <row r="12" spans="1:23" ht="18" x14ac:dyDescent="0.25">
      <c r="A12" s="76"/>
      <c r="B12" s="769"/>
      <c r="C12" s="627"/>
      <c r="D12" s="48"/>
      <c r="E12" s="86" t="s">
        <v>367</v>
      </c>
      <c r="F12" s="75" t="s">
        <v>89</v>
      </c>
      <c r="G12" s="616" t="s">
        <v>7</v>
      </c>
      <c r="H12" s="875"/>
      <c r="I12" s="875">
        <f>$I$6</f>
        <v>120</v>
      </c>
      <c r="J12" s="838">
        <v>1</v>
      </c>
      <c r="K12" s="640">
        <v>2.34375</v>
      </c>
      <c r="L12" s="79">
        <f t="shared" si="3"/>
        <v>51.2</v>
      </c>
      <c r="M12" s="89">
        <f t="shared" si="1"/>
        <v>52</v>
      </c>
      <c r="N12" s="432">
        <f>ROUNDDOWN(M12/45,0)</f>
        <v>1</v>
      </c>
      <c r="O12" s="378" t="s">
        <v>193</v>
      </c>
      <c r="P12" s="433">
        <f>MOD(M12,45)</f>
        <v>7</v>
      </c>
      <c r="Q12" s="124"/>
      <c r="R12" s="848">
        <f>N12</f>
        <v>1</v>
      </c>
      <c r="S12" s="805" t="s">
        <v>193</v>
      </c>
      <c r="T12" s="849">
        <f>P12</f>
        <v>7</v>
      </c>
      <c r="U12" s="404">
        <f>(R12*45)+T12</f>
        <v>52</v>
      </c>
      <c r="V12" s="402">
        <f>U12*2.34375</f>
        <v>121.875</v>
      </c>
      <c r="W12" s="546" t="s">
        <v>312</v>
      </c>
    </row>
    <row r="13" spans="1:23" x14ac:dyDescent="0.2">
      <c r="A13" s="76"/>
      <c r="B13" s="769"/>
      <c r="C13" s="638"/>
      <c r="D13" s="639"/>
      <c r="E13" s="85" t="s">
        <v>385</v>
      </c>
      <c r="F13" s="73" t="s">
        <v>83</v>
      </c>
      <c r="G13" s="616" t="s">
        <v>199</v>
      </c>
      <c r="H13" s="875"/>
      <c r="I13" s="875">
        <f>$I$6</f>
        <v>120</v>
      </c>
      <c r="J13" s="838">
        <v>1</v>
      </c>
      <c r="K13" s="594">
        <v>7.28</v>
      </c>
      <c r="L13" s="79">
        <f t="shared" si="3"/>
        <v>16.483516483516482</v>
      </c>
      <c r="M13" s="89">
        <f t="shared" si="1"/>
        <v>17</v>
      </c>
      <c r="N13" s="1051">
        <f t="shared" ref="N13:N14" si="4">ROUNDDOWN(M13/1,0)</f>
        <v>17</v>
      </c>
      <c r="O13" s="1052"/>
      <c r="P13" s="1053"/>
      <c r="Q13" s="386"/>
      <c r="R13" s="1076">
        <f t="shared" ref="R13" si="5">N13</f>
        <v>17</v>
      </c>
      <c r="S13" s="1077"/>
      <c r="T13" s="1078"/>
      <c r="U13" s="404">
        <f t="shared" si="2"/>
        <v>17</v>
      </c>
      <c r="V13" s="402">
        <f>U13</f>
        <v>17</v>
      </c>
      <c r="W13" s="546" t="s">
        <v>317</v>
      </c>
    </row>
    <row r="14" spans="1:23" x14ac:dyDescent="0.2">
      <c r="A14" s="76"/>
      <c r="B14" s="769"/>
      <c r="C14" s="627"/>
      <c r="D14" s="48"/>
      <c r="E14" s="85" t="s">
        <v>386</v>
      </c>
      <c r="F14" s="73" t="s">
        <v>83</v>
      </c>
      <c r="G14" s="616" t="s">
        <v>199</v>
      </c>
      <c r="H14" s="897"/>
      <c r="I14" s="875">
        <f>$I$6</f>
        <v>120</v>
      </c>
      <c r="J14" s="838">
        <v>1</v>
      </c>
      <c r="K14" s="643">
        <v>5.82</v>
      </c>
      <c r="L14" s="79">
        <f t="shared" si="3"/>
        <v>20.618556701030926</v>
      </c>
      <c r="M14" s="89">
        <f t="shared" si="1"/>
        <v>21</v>
      </c>
      <c r="N14" s="1051">
        <f t="shared" si="4"/>
        <v>21</v>
      </c>
      <c r="O14" s="1052"/>
      <c r="P14" s="1053"/>
      <c r="Q14" s="124"/>
      <c r="R14" s="1076">
        <f>N14</f>
        <v>21</v>
      </c>
      <c r="S14" s="1077"/>
      <c r="T14" s="1078"/>
      <c r="U14" s="404">
        <f t="shared" si="2"/>
        <v>21</v>
      </c>
      <c r="V14" s="402">
        <f>U14</f>
        <v>21</v>
      </c>
      <c r="W14" s="546" t="s">
        <v>317</v>
      </c>
    </row>
    <row r="15" spans="1:23" x14ac:dyDescent="0.2">
      <c r="A15" s="76"/>
      <c r="B15" s="885"/>
      <c r="C15" s="886"/>
      <c r="D15" s="887"/>
      <c r="E15" s="467" t="s">
        <v>50</v>
      </c>
      <c r="F15" s="641"/>
      <c r="G15" s="642"/>
      <c r="H15" s="900"/>
      <c r="I15" s="878"/>
      <c r="J15" s="899"/>
      <c r="K15" s="642"/>
      <c r="L15" s="469"/>
      <c r="M15" s="470"/>
      <c r="N15" s="1085"/>
      <c r="O15" s="1086"/>
      <c r="P15" s="1087"/>
      <c r="Q15" s="124"/>
      <c r="R15" s="851"/>
      <c r="S15" s="852"/>
      <c r="T15" s="853"/>
      <c r="U15" s="385"/>
      <c r="V15" s="431"/>
      <c r="W15" s="385"/>
    </row>
    <row r="16" spans="1:23" x14ac:dyDescent="0.2">
      <c r="A16" s="76"/>
      <c r="B16" s="769"/>
      <c r="C16" s="888"/>
      <c r="D16" s="889"/>
      <c r="E16" s="154" t="s">
        <v>294</v>
      </c>
      <c r="F16" s="73" t="s">
        <v>84</v>
      </c>
      <c r="G16" s="616" t="s">
        <v>3</v>
      </c>
      <c r="H16" s="901">
        <v>3</v>
      </c>
      <c r="I16" s="875">
        <f>$I$6</f>
        <v>120</v>
      </c>
      <c r="J16" s="838">
        <v>1</v>
      </c>
      <c r="K16" s="594">
        <f>17/H16</f>
        <v>5.666666666666667</v>
      </c>
      <c r="L16" s="79">
        <f t="shared" si="3"/>
        <v>21.176470588235293</v>
      </c>
      <c r="M16" s="89">
        <f t="shared" si="1"/>
        <v>22</v>
      </c>
      <c r="N16" s="432">
        <f>ROUNDDOWN(M16/48,0)</f>
        <v>0</v>
      </c>
      <c r="O16" s="378" t="s">
        <v>193</v>
      </c>
      <c r="P16" s="433">
        <f>MOD(M16,48)</f>
        <v>22</v>
      </c>
      <c r="Q16" s="124"/>
      <c r="R16" s="848">
        <f>N16</f>
        <v>0</v>
      </c>
      <c r="S16" s="805" t="s">
        <v>193</v>
      </c>
      <c r="T16" s="849">
        <f>P16</f>
        <v>22</v>
      </c>
      <c r="U16" s="404">
        <f>(R16*48)+T16</f>
        <v>22</v>
      </c>
      <c r="V16" s="402">
        <f>U16</f>
        <v>22</v>
      </c>
      <c r="W16" s="546" t="s">
        <v>3</v>
      </c>
    </row>
    <row r="17" spans="1:23" s="124" customFormat="1" ht="18" x14ac:dyDescent="0.2">
      <c r="A17" s="157"/>
      <c r="B17" s="766"/>
      <c r="C17" s="629"/>
      <c r="D17" s="208"/>
      <c r="E17" s="85" t="s">
        <v>365</v>
      </c>
      <c r="F17" s="207" t="s">
        <v>134</v>
      </c>
      <c r="G17" s="388" t="s">
        <v>198</v>
      </c>
      <c r="H17" s="869"/>
      <c r="I17" s="875">
        <f t="shared" ref="I17:I18" si="6">$I$6</f>
        <v>120</v>
      </c>
      <c r="J17" s="1048">
        <v>1</v>
      </c>
      <c r="K17" s="88">
        <v>90</v>
      </c>
      <c r="L17" s="152">
        <f>(I17*J17)/K17</f>
        <v>1.3333333333333333</v>
      </c>
      <c r="M17" s="381">
        <f>ROUNDUP(L17,0)</f>
        <v>2</v>
      </c>
      <c r="N17" s="1051">
        <f>ROUNDDOWN(M17/1,0)</f>
        <v>2</v>
      </c>
      <c r="O17" s="1052"/>
      <c r="P17" s="1053"/>
      <c r="R17" s="1076">
        <f>N17</f>
        <v>2</v>
      </c>
      <c r="S17" s="1077"/>
      <c r="T17" s="1078"/>
      <c r="U17" s="404">
        <f>(R17*1)+T17</f>
        <v>2</v>
      </c>
      <c r="V17" s="402">
        <f>U17*100</f>
        <v>200</v>
      </c>
      <c r="W17" s="546" t="s">
        <v>312</v>
      </c>
    </row>
    <row r="18" spans="1:23" s="124" customFormat="1" ht="18" x14ac:dyDescent="0.2">
      <c r="A18" s="157"/>
      <c r="B18" s="768"/>
      <c r="C18" s="632"/>
      <c r="D18" s="622"/>
      <c r="E18" s="1023" t="s">
        <v>366</v>
      </c>
      <c r="F18" s="1024" t="s">
        <v>135</v>
      </c>
      <c r="G18" s="624" t="s">
        <v>198</v>
      </c>
      <c r="H18" s="871"/>
      <c r="I18" s="902">
        <f t="shared" si="6"/>
        <v>120</v>
      </c>
      <c r="J18" s="1049">
        <v>1</v>
      </c>
      <c r="K18" s="657">
        <v>31.5</v>
      </c>
      <c r="L18" s="447">
        <f>(I18*J18)/K18</f>
        <v>3.8095238095238093</v>
      </c>
      <c r="M18" s="399">
        <f>ROUNDUP(L18,0)</f>
        <v>4</v>
      </c>
      <c r="N18" s="1094">
        <f>ROUNDDOWN(M18/1,0)</f>
        <v>4</v>
      </c>
      <c r="O18" s="1095"/>
      <c r="P18" s="1096"/>
      <c r="R18" s="1097">
        <f>N18</f>
        <v>4</v>
      </c>
      <c r="S18" s="1098"/>
      <c r="T18" s="1099"/>
      <c r="U18" s="377">
        <f>(R18*1)+T18</f>
        <v>4</v>
      </c>
      <c r="V18" s="601">
        <f>U18*35</f>
        <v>140</v>
      </c>
      <c r="W18" s="547" t="s">
        <v>312</v>
      </c>
    </row>
    <row r="19" spans="1:23" x14ac:dyDescent="0.2">
      <c r="A19" s="19"/>
      <c r="B19" s="711" t="s">
        <v>128</v>
      </c>
      <c r="C19" s="234"/>
      <c r="D19" s="234"/>
      <c r="F19" s="228"/>
      <c r="G19" s="229"/>
      <c r="H19" s="230"/>
      <c r="I19" s="230"/>
      <c r="J19" s="226"/>
      <c r="K19" s="229"/>
      <c r="L19" s="222"/>
      <c r="M19" s="231"/>
      <c r="N19" s="1086"/>
      <c r="O19" s="1086"/>
      <c r="P19" s="1086"/>
      <c r="Q19" s="124"/>
      <c r="R19" s="1100"/>
      <c r="S19" s="1100"/>
      <c r="T19" s="1100"/>
      <c r="U19" s="124"/>
      <c r="V19" s="391"/>
    </row>
    <row r="20" spans="1:23" x14ac:dyDescent="0.2">
      <c r="A20" s="19"/>
      <c r="B20" s="217"/>
      <c r="C20" s="234"/>
      <c r="D20" s="234"/>
      <c r="F20" s="228"/>
      <c r="G20" s="229"/>
      <c r="H20" s="230"/>
      <c r="I20" s="230"/>
      <c r="J20" s="226"/>
      <c r="K20" s="229"/>
      <c r="L20" s="222"/>
      <c r="M20" s="231"/>
      <c r="N20" s="473"/>
      <c r="O20" s="473"/>
      <c r="P20" s="473"/>
      <c r="Q20" s="124"/>
      <c r="R20" s="541"/>
      <c r="S20" s="541"/>
      <c r="T20" s="541"/>
      <c r="U20" s="124"/>
      <c r="V20" s="391"/>
    </row>
    <row r="21" spans="1:23" x14ac:dyDescent="0.2">
      <c r="A21" s="19"/>
      <c r="B21" s="43" t="s">
        <v>42</v>
      </c>
      <c r="C21" s="43"/>
      <c r="D21" s="43"/>
      <c r="E21" s="890"/>
      <c r="F21" s="43"/>
      <c r="G21" s="50"/>
      <c r="H21" s="46"/>
      <c r="I21" s="47"/>
      <c r="J21" s="43"/>
      <c r="K21" s="46"/>
      <c r="L21" s="77"/>
      <c r="M21" s="50"/>
    </row>
    <row r="22" spans="1:23" x14ac:dyDescent="0.2">
      <c r="B22" s="43"/>
      <c r="C22" s="43"/>
      <c r="D22" s="43"/>
      <c r="E22" s="50"/>
      <c r="F22" s="43"/>
      <c r="G22" s="50"/>
      <c r="H22" s="46"/>
      <c r="I22" s="47"/>
      <c r="J22" s="43"/>
      <c r="K22" s="46"/>
      <c r="L22" s="77"/>
      <c r="M22" s="50"/>
    </row>
    <row r="23" spans="1:23" x14ac:dyDescent="0.2">
      <c r="B23" s="43"/>
      <c r="C23" s="43"/>
      <c r="D23" s="43"/>
      <c r="E23" s="50"/>
      <c r="F23" s="43"/>
      <c r="G23" s="50"/>
      <c r="H23" s="46"/>
      <c r="I23" s="47"/>
      <c r="J23" s="43"/>
      <c r="K23" s="46"/>
      <c r="L23" s="77"/>
      <c r="M23" s="50"/>
    </row>
    <row r="24" spans="1:23" x14ac:dyDescent="0.2">
      <c r="B24" s="43"/>
      <c r="C24" s="43"/>
      <c r="D24" s="43"/>
      <c r="E24" s="50"/>
      <c r="F24" s="891"/>
      <c r="G24" s="892"/>
      <c r="H24" s="893"/>
      <c r="I24" s="50"/>
      <c r="J24" s="43"/>
      <c r="K24" s="892"/>
      <c r="L24" s="894"/>
      <c r="M24" s="50"/>
    </row>
    <row r="25" spans="1:23" x14ac:dyDescent="0.2">
      <c r="B25" s="43"/>
      <c r="C25" s="43"/>
      <c r="D25" s="43"/>
      <c r="E25" s="895"/>
      <c r="F25" s="891"/>
      <c r="G25" s="892"/>
      <c r="H25" s="893"/>
      <c r="I25" s="50"/>
      <c r="J25" s="43"/>
      <c r="K25" s="892"/>
      <c r="L25" s="894"/>
      <c r="M25" s="50"/>
    </row>
    <row r="26" spans="1:23" x14ac:dyDescent="0.2">
      <c r="B26" s="3"/>
      <c r="C26" s="3"/>
      <c r="D26" s="3"/>
      <c r="E26" s="625"/>
      <c r="F26" s="3"/>
      <c r="G26" s="3"/>
      <c r="H26" s="3"/>
      <c r="I26" s="3"/>
      <c r="J26" s="3"/>
      <c r="K26" s="3"/>
      <c r="L26" s="3"/>
      <c r="M26" s="3"/>
    </row>
    <row r="27" spans="1:23" x14ac:dyDescent="0.2">
      <c r="B27" s="234"/>
      <c r="C27" s="234"/>
      <c r="D27" s="234"/>
      <c r="E27" s="3"/>
      <c r="F27" s="242"/>
      <c r="G27" s="232"/>
      <c r="H27" s="244"/>
      <c r="I27" s="244"/>
      <c r="J27" s="240"/>
      <c r="K27" s="243"/>
      <c r="L27" s="233"/>
      <c r="M27" s="245"/>
    </row>
    <row r="28" spans="1:23" x14ac:dyDescent="0.2">
      <c r="B28" s="301"/>
      <c r="C28" s="301"/>
      <c r="D28" s="301"/>
      <c r="E28" s="241"/>
      <c r="F28" s="292"/>
      <c r="G28" s="294"/>
      <c r="H28" s="249"/>
      <c r="I28" s="220"/>
      <c r="J28" s="290"/>
      <c r="K28" s="293"/>
      <c r="L28" s="250"/>
      <c r="M28" s="206"/>
    </row>
    <row r="29" spans="1:23" x14ac:dyDescent="0.2">
      <c r="B29" s="301"/>
      <c r="C29" s="301"/>
      <c r="D29" s="301"/>
      <c r="E29" s="291"/>
      <c r="F29" s="292"/>
      <c r="G29" s="294"/>
      <c r="H29" s="18"/>
      <c r="I29" s="4"/>
      <c r="J29" s="290"/>
      <c r="K29" s="293"/>
      <c r="L29" s="13"/>
      <c r="M29" s="3"/>
    </row>
    <row r="30" spans="1:23" x14ac:dyDescent="0.2">
      <c r="B30" s="301"/>
      <c r="C30" s="301"/>
      <c r="D30" s="301"/>
      <c r="E30" s="291"/>
      <c r="F30" s="292"/>
      <c r="G30" s="294"/>
      <c r="J30" s="290"/>
      <c r="K30" s="293"/>
    </row>
    <row r="31" spans="1:23" x14ac:dyDescent="0.2">
      <c r="B31" s="301"/>
      <c r="C31" s="301"/>
      <c r="D31" s="301"/>
      <c r="E31" s="291"/>
      <c r="F31" s="292"/>
      <c r="G31" s="294"/>
      <c r="J31" s="290"/>
      <c r="K31" s="293"/>
    </row>
    <row r="32" spans="1:23" x14ac:dyDescent="0.2">
      <c r="E32" s="291"/>
    </row>
    <row r="35" spans="1:10" x14ac:dyDescent="0.2">
      <c r="A35" s="303"/>
      <c r="B35" s="277"/>
      <c r="C35" s="277"/>
      <c r="D35" s="277"/>
      <c r="F35" s="280"/>
      <c r="G35" s="281">
        <v>1.1499999999999999</v>
      </c>
      <c r="J35" s="278">
        <v>12</v>
      </c>
    </row>
    <row r="36" spans="1:10" x14ac:dyDescent="0.2">
      <c r="A36" s="303"/>
      <c r="B36" s="277"/>
      <c r="C36" s="277"/>
      <c r="D36" s="277"/>
      <c r="E36" s="279">
        <v>0.78</v>
      </c>
      <c r="F36" s="280"/>
      <c r="G36" s="281">
        <v>1.1499999999999999</v>
      </c>
      <c r="J36" s="278">
        <v>30</v>
      </c>
    </row>
    <row r="37" spans="1:10" x14ac:dyDescent="0.2">
      <c r="A37" s="303"/>
      <c r="B37" s="277"/>
      <c r="C37" s="277"/>
      <c r="D37" s="277"/>
      <c r="E37" s="279">
        <v>2.34</v>
      </c>
      <c r="F37" s="280"/>
      <c r="G37" s="281">
        <v>1.1499999999999999</v>
      </c>
      <c r="J37" s="278">
        <v>40</v>
      </c>
    </row>
    <row r="38" spans="1:10" x14ac:dyDescent="0.2">
      <c r="E38" s="279">
        <v>2.35</v>
      </c>
    </row>
  </sheetData>
  <sheetProtection algorithmName="SHA-512" hashValue="bR+bxwJI+zpXnsP92sKOqV9llma8NHi6WZUvsRfabHwVeHpDvqlX1cCKRBCT6TE7+Krf9VEEvr3Bng2T+OtMtw==" saltValue="w3ebAPqeWKiSzz/XT5ygsA==" spinCount="100000" sheet="1" insertRows="0"/>
  <protectedRanges>
    <protectedRange sqref="B1:D1" name="Bereich1_1_1_1_1_1_1_1_1"/>
    <protectedRange sqref="B2:D2 A1:A3" name="Bereich1_1_1_1_1_1_1_1"/>
    <protectedRange sqref="E1:M3 C3:D3" name="Bereich1_1_1_1_1_1_1_1_5"/>
    <protectedRange sqref="A4" name="Bereich1_1_1_1_1_1_1_1_4_1"/>
    <protectedRange sqref="G4:H4" name="Bereich1_1_1_1_1_1_1_1_3_1_2"/>
    <protectedRange sqref="E4" name="Bereich1_1_1_1_1_1_1_1_3_1_4"/>
    <protectedRange sqref="D4" name="Bereich1_1_1_1_1_1_1_1_3_1_1_3"/>
    <protectedRange sqref="C4" name="Bereich1_1_1_1_1_1_1_1_3_1_1_4"/>
    <protectedRange sqref="B4" name="Bereich1_1_1_1_1_1_1_1_3_1_1_5"/>
    <protectedRange sqref="F4" name="Bereich1_1_1_1_1_1_1_1_3_1_5"/>
    <protectedRange sqref="I4" name="Bereich1_1_1_1_1_1_1_1_3_1_6"/>
    <protectedRange sqref="J4" name="Bereich1_1_1_1_1_1_1_1_3_1_7"/>
    <protectedRange sqref="K4" name="Bereich1_1_1_1_1_1_1_1_3_1_8"/>
    <protectedRange sqref="L4" name="Bereich1_1_1_1_1_1_1_1_3_1_2_1"/>
    <protectedRange sqref="M4" name="Bereich1_1_1_1_1_1_1_1_3_1_2_3"/>
    <protectedRange sqref="U4" name="Bereich1_1_1_1_1_1_1_1_3_1_2_4"/>
  </protectedRanges>
  <mergeCells count="34">
    <mergeCell ref="C4:C5"/>
    <mergeCell ref="U4:U5"/>
    <mergeCell ref="W4:W5"/>
    <mergeCell ref="B4:B5"/>
    <mergeCell ref="I4:I5"/>
    <mergeCell ref="J4:J5"/>
    <mergeCell ref="K4:K5"/>
    <mergeCell ref="L4:L5"/>
    <mergeCell ref="M4:M5"/>
    <mergeCell ref="G4:G5"/>
    <mergeCell ref="H4:H5"/>
    <mergeCell ref="V4:V5"/>
    <mergeCell ref="N10:P10"/>
    <mergeCell ref="R10:T10"/>
    <mergeCell ref="D4:D5"/>
    <mergeCell ref="E4:E5"/>
    <mergeCell ref="F4:F5"/>
    <mergeCell ref="N4:P4"/>
    <mergeCell ref="R4:T4"/>
    <mergeCell ref="N9:P9"/>
    <mergeCell ref="R9:T9"/>
    <mergeCell ref="N19:P19"/>
    <mergeCell ref="R19:T19"/>
    <mergeCell ref="N17:P17"/>
    <mergeCell ref="R17:T17"/>
    <mergeCell ref="N11:P11"/>
    <mergeCell ref="R11:T11"/>
    <mergeCell ref="N18:P18"/>
    <mergeCell ref="R18:T18"/>
    <mergeCell ref="N15:P15"/>
    <mergeCell ref="R14:T14"/>
    <mergeCell ref="N14:P14"/>
    <mergeCell ref="N13:P13"/>
    <mergeCell ref="R13:T13"/>
  </mergeCells>
  <pageMargins left="0.25" right="0.25" top="0.75" bottom="0.75" header="0.3" footer="0.3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D2AC-5834-4A60-90F7-34819E8C3E6D}">
  <sheetPr>
    <pageSetUpPr fitToPage="1"/>
  </sheetPr>
  <dimension ref="A1:X39"/>
  <sheetViews>
    <sheetView zoomScaleNormal="100" workbookViewId="0">
      <selection activeCell="E16" sqref="E16"/>
    </sheetView>
  </sheetViews>
  <sheetFormatPr baseColWidth="10" defaultColWidth="10.7109375" defaultRowHeight="12.75" x14ac:dyDescent="0.2"/>
  <cols>
    <col min="1" max="1" width="2.28515625" style="184" customWidth="1"/>
    <col min="2" max="2" width="9.140625" style="205" customWidth="1"/>
    <col min="3" max="3" width="11" style="205" customWidth="1"/>
    <col min="4" max="4" width="8.85546875" style="205" customWidth="1"/>
    <col min="5" max="5" width="47" style="178" bestFit="1" customWidth="1"/>
    <col min="6" max="6" width="7.7109375" style="179" bestFit="1" customWidth="1"/>
    <col min="7" max="7" width="13.140625" style="180" bestFit="1" customWidth="1"/>
    <col min="8" max="9" width="10.7109375" style="181" customWidth="1"/>
    <col min="10" max="10" width="9.28515625" style="177" customWidth="1"/>
    <col min="11" max="11" width="12.5703125" style="180" customWidth="1"/>
    <col min="12" max="12" width="10.7109375" style="182" customWidth="1"/>
    <col min="13" max="13" width="8.7109375" style="183" customWidth="1"/>
    <col min="14" max="14" width="8.7109375" style="175" bestFit="1" customWidth="1"/>
    <col min="15" max="15" width="2.140625" style="175" bestFit="1" customWidth="1"/>
    <col min="16" max="16" width="5.140625" style="175" bestFit="1" customWidth="1"/>
    <col min="17" max="17" width="2.7109375" style="175" customWidth="1"/>
    <col min="18" max="18" width="9" style="175" bestFit="1" customWidth="1"/>
    <col min="19" max="19" width="2.140625" style="175" bestFit="1" customWidth="1"/>
    <col min="20" max="20" width="5.140625" style="175" bestFit="1" customWidth="1"/>
    <col min="21" max="21" width="10.85546875" style="175" customWidth="1"/>
    <col min="22" max="22" width="7.28515625" style="175" bestFit="1" customWidth="1"/>
    <col min="23" max="16384" width="10.7109375" style="175"/>
  </cols>
  <sheetData>
    <row r="1" spans="1:24" ht="15.75" x14ac:dyDescent="0.25">
      <c r="A1" s="167"/>
      <c r="B1" s="92" t="s">
        <v>157</v>
      </c>
      <c r="C1" s="92"/>
      <c r="D1" s="92"/>
      <c r="E1" s="169"/>
      <c r="F1" s="170"/>
      <c r="G1" s="171"/>
      <c r="H1" s="172"/>
      <c r="I1" s="172"/>
      <c r="J1" s="168"/>
      <c r="K1" s="171"/>
      <c r="L1" s="173"/>
      <c r="M1" s="174"/>
    </row>
    <row r="2" spans="1:24" ht="15.75" x14ac:dyDescent="0.25">
      <c r="A2" s="167"/>
      <c r="B2" s="105" t="s">
        <v>40</v>
      </c>
      <c r="C2" s="105"/>
      <c r="D2" s="105"/>
      <c r="E2" s="169"/>
      <c r="F2" s="170"/>
      <c r="G2" s="171"/>
      <c r="H2" s="172"/>
      <c r="I2" s="172"/>
      <c r="J2" s="168"/>
      <c r="K2" s="171"/>
      <c r="L2" s="173"/>
      <c r="M2" s="174"/>
    </row>
    <row r="3" spans="1:24" ht="23.25" x14ac:dyDescent="0.2">
      <c r="A3" s="176"/>
      <c r="B3" s="39" t="s">
        <v>173</v>
      </c>
      <c r="C3" s="39"/>
      <c r="D3" s="39"/>
    </row>
    <row r="4" spans="1:24" s="185" customFormat="1" ht="15.75" customHeight="1" x14ac:dyDescent="0.2">
      <c r="A4" s="184"/>
      <c r="B4" s="1068" t="s">
        <v>185</v>
      </c>
      <c r="C4" s="1069" t="s">
        <v>183</v>
      </c>
      <c r="D4" s="1068" t="s">
        <v>184</v>
      </c>
      <c r="E4" s="1067" t="s">
        <v>0</v>
      </c>
      <c r="F4" s="1070" t="s">
        <v>1</v>
      </c>
      <c r="G4" s="1067" t="s">
        <v>196</v>
      </c>
      <c r="H4" s="1073" t="s">
        <v>201</v>
      </c>
      <c r="I4" s="1083" t="s">
        <v>189</v>
      </c>
      <c r="J4" s="1068" t="s">
        <v>17</v>
      </c>
      <c r="K4" s="1067" t="s">
        <v>197</v>
      </c>
      <c r="L4" s="1058" t="s">
        <v>32</v>
      </c>
      <c r="M4" s="1061" t="s">
        <v>192</v>
      </c>
      <c r="N4" s="1081" t="s">
        <v>196</v>
      </c>
      <c r="O4" s="1062"/>
      <c r="P4" s="1063"/>
      <c r="Q4" s="541"/>
      <c r="R4" s="1064" t="s">
        <v>202</v>
      </c>
      <c r="S4" s="1065"/>
      <c r="T4" s="1066"/>
      <c r="U4" s="1058" t="s">
        <v>32</v>
      </c>
      <c r="V4" s="1059" t="s">
        <v>200</v>
      </c>
      <c r="W4" s="1057" t="s">
        <v>368</v>
      </c>
    </row>
    <row r="5" spans="1:24" ht="28.5" customHeight="1" thickBot="1" x14ac:dyDescent="0.25">
      <c r="B5" s="1068"/>
      <c r="C5" s="1069"/>
      <c r="D5" s="1068"/>
      <c r="E5" s="1067"/>
      <c r="F5" s="1070"/>
      <c r="G5" s="1067"/>
      <c r="H5" s="1073"/>
      <c r="I5" s="1084"/>
      <c r="J5" s="1068"/>
      <c r="K5" s="1067"/>
      <c r="L5" s="1058"/>
      <c r="M5" s="1061"/>
      <c r="N5" s="558" t="s">
        <v>195</v>
      </c>
      <c r="O5" s="559"/>
      <c r="P5" s="560" t="s">
        <v>194</v>
      </c>
      <c r="Q5" s="139"/>
      <c r="R5" s="397" t="s">
        <v>195</v>
      </c>
      <c r="S5" s="403" t="s">
        <v>193</v>
      </c>
      <c r="T5" s="398" t="s">
        <v>194</v>
      </c>
      <c r="U5" s="1058"/>
      <c r="V5" s="1059"/>
      <c r="W5" s="1057"/>
    </row>
    <row r="6" spans="1:24" ht="34.5" customHeight="1" thickTop="1" thickBot="1" x14ac:dyDescent="0.25">
      <c r="A6" s="192"/>
      <c r="B6" s="348"/>
      <c r="C6" s="349"/>
      <c r="D6" s="349"/>
      <c r="E6" s="350"/>
      <c r="F6" s="224"/>
      <c r="G6" s="225"/>
      <c r="H6" s="472"/>
      <c r="I6" s="675">
        <v>0</v>
      </c>
      <c r="J6" s="349"/>
      <c r="K6" s="351"/>
      <c r="L6" s="352"/>
      <c r="M6" s="353"/>
      <c r="N6" s="124"/>
      <c r="O6" s="376"/>
      <c r="P6" s="142"/>
      <c r="Q6" s="124"/>
      <c r="R6" s="124"/>
      <c r="S6" s="376"/>
      <c r="T6" s="124"/>
      <c r="U6" s="390"/>
      <c r="V6" s="390"/>
    </row>
    <row r="7" spans="1:24" ht="16.5" thickTop="1" x14ac:dyDescent="0.2">
      <c r="A7" s="194"/>
      <c r="B7" s="774"/>
      <c r="C7" s="659"/>
      <c r="D7" s="658"/>
      <c r="E7" s="660" t="s">
        <v>296</v>
      </c>
      <c r="F7" s="661"/>
      <c r="G7" s="662"/>
      <c r="H7" s="668"/>
      <c r="I7" s="526"/>
      <c r="J7" s="669"/>
      <c r="K7" s="663"/>
      <c r="L7" s="671"/>
      <c r="M7" s="665"/>
      <c r="N7" s="645"/>
      <c r="O7" s="418"/>
      <c r="P7" s="646"/>
      <c r="Q7" s="385"/>
      <c r="R7" s="647"/>
      <c r="S7" s="648"/>
      <c r="T7" s="649"/>
      <c r="U7" s="545"/>
      <c r="V7" s="650"/>
      <c r="W7" s="666"/>
    </row>
    <row r="8" spans="1:24" ht="15.75" x14ac:dyDescent="0.2">
      <c r="A8" s="195"/>
      <c r="B8" s="769"/>
      <c r="C8" s="627"/>
      <c r="D8" s="48"/>
      <c r="E8" s="85" t="s">
        <v>294</v>
      </c>
      <c r="F8" s="73" t="s">
        <v>84</v>
      </c>
      <c r="G8" s="87" t="s">
        <v>3</v>
      </c>
      <c r="H8" s="869">
        <v>3</v>
      </c>
      <c r="I8" s="875">
        <f>$I$6</f>
        <v>0</v>
      </c>
      <c r="J8" s="908">
        <v>1</v>
      </c>
      <c r="K8" s="88">
        <f>17/H8</f>
        <v>5.666666666666667</v>
      </c>
      <c r="L8" s="63">
        <f>(I8*J8)/K8</f>
        <v>0</v>
      </c>
      <c r="M8" s="89">
        <f>ROUNDUP(L8,0)</f>
        <v>0</v>
      </c>
      <c r="N8" s="432">
        <f>ROUNDDOWN(M8/48,0)</f>
        <v>0</v>
      </c>
      <c r="O8" s="378" t="s">
        <v>193</v>
      </c>
      <c r="P8" s="433">
        <f>MOD(M8,48)</f>
        <v>0</v>
      </c>
      <c r="Q8" s="124"/>
      <c r="R8" s="848">
        <f>N8</f>
        <v>0</v>
      </c>
      <c r="S8" s="805" t="s">
        <v>193</v>
      </c>
      <c r="T8" s="849">
        <f>P8</f>
        <v>0</v>
      </c>
      <c r="U8" s="404">
        <f>(R8*48)+T8</f>
        <v>0</v>
      </c>
      <c r="V8" s="402">
        <f>U8</f>
        <v>0</v>
      </c>
      <c r="W8" s="214" t="s">
        <v>3</v>
      </c>
    </row>
    <row r="9" spans="1:24" ht="15.75" x14ac:dyDescent="0.2">
      <c r="A9" s="196"/>
      <c r="B9" s="771"/>
      <c r="C9" s="628"/>
      <c r="D9" s="471"/>
      <c r="E9" s="527" t="s">
        <v>91</v>
      </c>
      <c r="F9" s="510"/>
      <c r="G9" s="511"/>
      <c r="H9" s="870"/>
      <c r="I9" s="878"/>
      <c r="J9" s="909"/>
      <c r="K9" s="512"/>
      <c r="L9" s="674"/>
      <c r="M9" s="470"/>
      <c r="N9" s="1085"/>
      <c r="O9" s="1086"/>
      <c r="P9" s="1087"/>
      <c r="Q9" s="124"/>
      <c r="R9" s="1091"/>
      <c r="S9" s="1092"/>
      <c r="T9" s="1093"/>
      <c r="U9" s="385"/>
      <c r="V9" s="431"/>
      <c r="W9" s="667"/>
    </row>
    <row r="10" spans="1:24" ht="18" x14ac:dyDescent="0.2">
      <c r="A10" s="197"/>
      <c r="B10" s="769"/>
      <c r="C10" s="627"/>
      <c r="D10" s="48"/>
      <c r="E10" s="154" t="s">
        <v>399</v>
      </c>
      <c r="F10" s="73" t="s">
        <v>90</v>
      </c>
      <c r="G10" s="87" t="s">
        <v>5</v>
      </c>
      <c r="H10" s="869"/>
      <c r="I10" s="875">
        <f>$I$6</f>
        <v>0</v>
      </c>
      <c r="J10" s="908">
        <v>1</v>
      </c>
      <c r="K10" s="977">
        <v>0.390625</v>
      </c>
      <c r="L10" s="63">
        <f t="shared" ref="L10:L15" si="0">(I10*J10)/K10</f>
        <v>0</v>
      </c>
      <c r="M10" s="89">
        <f t="shared" ref="M10:M15" si="1">ROUNDUP(L10,0)</f>
        <v>0</v>
      </c>
      <c r="N10" s="432">
        <f>ROUNDDOWN(M10/120,0)</f>
        <v>0</v>
      </c>
      <c r="O10" s="378" t="s">
        <v>193</v>
      </c>
      <c r="P10" s="433">
        <f>MOD(M10,120)</f>
        <v>0</v>
      </c>
      <c r="Q10" s="124"/>
      <c r="R10" s="848">
        <f>N10</f>
        <v>0</v>
      </c>
      <c r="S10" s="805" t="s">
        <v>193</v>
      </c>
      <c r="T10" s="849">
        <f>P10</f>
        <v>0</v>
      </c>
      <c r="U10" s="404">
        <f>(R10*120)+T10</f>
        <v>0</v>
      </c>
      <c r="V10" s="402">
        <f>U10*0.390625</f>
        <v>0</v>
      </c>
      <c r="W10" s="546" t="s">
        <v>312</v>
      </c>
    </row>
    <row r="11" spans="1:24" s="124" customFormat="1" ht="15.75" customHeight="1" x14ac:dyDescent="0.2">
      <c r="A11" s="157"/>
      <c r="B11" s="769"/>
      <c r="C11" s="548"/>
      <c r="D11" s="166"/>
      <c r="E11" s="211" t="s">
        <v>288</v>
      </c>
      <c r="F11" s="148" t="s">
        <v>131</v>
      </c>
      <c r="G11" s="387" t="s">
        <v>5</v>
      </c>
      <c r="H11" s="867"/>
      <c r="I11" s="872">
        <f>$I$6</f>
        <v>0</v>
      </c>
      <c r="J11" s="910">
        <v>1</v>
      </c>
      <c r="K11" s="976">
        <v>0.78125</v>
      </c>
      <c r="L11" s="587">
        <f t="shared" si="0"/>
        <v>0</v>
      </c>
      <c r="M11" s="554">
        <f t="shared" si="1"/>
        <v>0</v>
      </c>
      <c r="N11" s="432">
        <f>ROUNDDOWN(M11/60,0)</f>
        <v>0</v>
      </c>
      <c r="O11" s="378" t="s">
        <v>193</v>
      </c>
      <c r="P11" s="433">
        <f>MOD(M11,60)</f>
        <v>0</v>
      </c>
      <c r="R11" s="848">
        <f>N11</f>
        <v>0</v>
      </c>
      <c r="S11" s="805" t="s">
        <v>193</v>
      </c>
      <c r="T11" s="849">
        <f>P11</f>
        <v>0</v>
      </c>
      <c r="U11" s="404">
        <f>(R11*60)+T11</f>
        <v>0</v>
      </c>
      <c r="V11" s="402">
        <f>U11*0.78125</f>
        <v>0</v>
      </c>
      <c r="W11" s="546" t="s">
        <v>312</v>
      </c>
    </row>
    <row r="12" spans="1:24" ht="18" x14ac:dyDescent="0.2">
      <c r="A12" s="197"/>
      <c r="B12" s="769"/>
      <c r="C12" s="627"/>
      <c r="D12" s="48"/>
      <c r="E12" s="154" t="s">
        <v>295</v>
      </c>
      <c r="F12" s="148" t="s">
        <v>81</v>
      </c>
      <c r="G12" s="149" t="s">
        <v>5</v>
      </c>
      <c r="H12" s="867"/>
      <c r="I12" s="872">
        <f>$I$6</f>
        <v>0</v>
      </c>
      <c r="J12" s="670">
        <v>1</v>
      </c>
      <c r="K12" s="151">
        <v>0.72</v>
      </c>
      <c r="L12" s="63">
        <f t="shared" si="0"/>
        <v>0</v>
      </c>
      <c r="M12" s="89">
        <f t="shared" si="1"/>
        <v>0</v>
      </c>
      <c r="N12" s="432">
        <f>ROUNDDOWN(M12/276,0)</f>
        <v>0</v>
      </c>
      <c r="O12" s="378" t="s">
        <v>193</v>
      </c>
      <c r="P12" s="433">
        <f>MOD(M12,276)</f>
        <v>0</v>
      </c>
      <c r="Q12" s="124"/>
      <c r="R12" s="848">
        <f>N12</f>
        <v>0</v>
      </c>
      <c r="S12" s="805" t="s">
        <v>193</v>
      </c>
      <c r="T12" s="849">
        <f>P12</f>
        <v>0</v>
      </c>
      <c r="U12" s="404">
        <f>(R12*276)+T12</f>
        <v>0</v>
      </c>
      <c r="V12" s="402">
        <f>U12*0.72</f>
        <v>0</v>
      </c>
      <c r="W12" s="546" t="s">
        <v>312</v>
      </c>
    </row>
    <row r="13" spans="1:24" ht="18" x14ac:dyDescent="0.2">
      <c r="A13" s="193"/>
      <c r="B13" s="769"/>
      <c r="C13" s="627"/>
      <c r="D13" s="48"/>
      <c r="E13" s="211" t="s">
        <v>369</v>
      </c>
      <c r="F13" s="148" t="s">
        <v>155</v>
      </c>
      <c r="G13" s="149" t="s">
        <v>5</v>
      </c>
      <c r="H13" s="867"/>
      <c r="I13" s="872">
        <f>$I$6</f>
        <v>0</v>
      </c>
      <c r="J13" s="670">
        <v>1</v>
      </c>
      <c r="K13" s="151">
        <v>0.5</v>
      </c>
      <c r="L13" s="63">
        <f t="shared" si="0"/>
        <v>0</v>
      </c>
      <c r="M13" s="89">
        <f t="shared" si="1"/>
        <v>0</v>
      </c>
      <c r="N13" s="432">
        <f>ROUNDDOWN(M13/30,0)</f>
        <v>0</v>
      </c>
      <c r="O13" s="378" t="s">
        <v>193</v>
      </c>
      <c r="P13" s="433">
        <f>MOD(M13,30)</f>
        <v>0</v>
      </c>
      <c r="Q13" s="124"/>
      <c r="R13" s="848">
        <f>N13</f>
        <v>0</v>
      </c>
      <c r="S13" s="805" t="s">
        <v>193</v>
      </c>
      <c r="T13" s="849">
        <f>P13</f>
        <v>0</v>
      </c>
      <c r="U13" s="404">
        <f>(R13*30)+T13</f>
        <v>0</v>
      </c>
      <c r="V13" s="402">
        <f>U13*0.5</f>
        <v>0</v>
      </c>
      <c r="W13" s="546" t="s">
        <v>312</v>
      </c>
      <c r="X13" s="508"/>
    </row>
    <row r="14" spans="1:24" ht="15.75" x14ac:dyDescent="0.2">
      <c r="A14" s="196"/>
      <c r="B14" s="771"/>
      <c r="C14" s="628"/>
      <c r="D14" s="471"/>
      <c r="E14" s="467" t="s">
        <v>50</v>
      </c>
      <c r="F14" s="673"/>
      <c r="G14" s="511"/>
      <c r="H14" s="911"/>
      <c r="I14" s="878"/>
      <c r="J14" s="523"/>
      <c r="K14" s="512"/>
      <c r="L14" s="674"/>
      <c r="M14" s="470"/>
      <c r="N14" s="539"/>
      <c r="O14" s="376"/>
      <c r="P14" s="465"/>
      <c r="Q14" s="124"/>
      <c r="R14" s="851"/>
      <c r="S14" s="852"/>
      <c r="T14" s="853"/>
      <c r="U14" s="385"/>
      <c r="V14" s="431"/>
      <c r="W14" s="667"/>
    </row>
    <row r="15" spans="1:24" ht="15.75" x14ac:dyDescent="0.2">
      <c r="A15" s="196"/>
      <c r="B15" s="769"/>
      <c r="C15" s="627"/>
      <c r="D15" s="208"/>
      <c r="E15" s="85" t="s">
        <v>294</v>
      </c>
      <c r="F15" s="207" t="s">
        <v>84</v>
      </c>
      <c r="G15" s="72" t="s">
        <v>3</v>
      </c>
      <c r="H15" s="869">
        <v>3</v>
      </c>
      <c r="I15" s="875">
        <f>$I$6</f>
        <v>0</v>
      </c>
      <c r="J15" s="908">
        <v>1</v>
      </c>
      <c r="K15" s="88">
        <f>17/H8</f>
        <v>5.666666666666667</v>
      </c>
      <c r="L15" s="63">
        <f t="shared" si="0"/>
        <v>0</v>
      </c>
      <c r="M15" s="89">
        <f t="shared" si="1"/>
        <v>0</v>
      </c>
      <c r="N15" s="432">
        <f>ROUNDDOWN(M15/48,0)</f>
        <v>0</v>
      </c>
      <c r="O15" s="378" t="s">
        <v>193</v>
      </c>
      <c r="P15" s="433">
        <f>MOD(M15,48)</f>
        <v>0</v>
      </c>
      <c r="Q15" s="124"/>
      <c r="R15" s="848">
        <f>N15</f>
        <v>0</v>
      </c>
      <c r="S15" s="805" t="s">
        <v>193</v>
      </c>
      <c r="T15" s="849">
        <f>P15</f>
        <v>0</v>
      </c>
      <c r="U15" s="404">
        <f>(R15*48)+T15</f>
        <v>0</v>
      </c>
      <c r="V15" s="402">
        <f>U15</f>
        <v>0</v>
      </c>
      <c r="W15" s="214" t="s">
        <v>3</v>
      </c>
    </row>
    <row r="16" spans="1:24" s="124" customFormat="1" ht="18" x14ac:dyDescent="0.2">
      <c r="A16" s="157"/>
      <c r="B16" s="766"/>
      <c r="C16" s="629"/>
      <c r="D16" s="208"/>
      <c r="E16" s="85" t="s">
        <v>365</v>
      </c>
      <c r="F16" s="207" t="s">
        <v>134</v>
      </c>
      <c r="G16" s="388" t="s">
        <v>198</v>
      </c>
      <c r="H16" s="869"/>
      <c r="I16" s="875">
        <f t="shared" ref="I16:I17" si="2">$I$7</f>
        <v>0</v>
      </c>
      <c r="J16" s="876">
        <v>1</v>
      </c>
      <c r="K16" s="88">
        <v>90</v>
      </c>
      <c r="L16" s="152">
        <f>(I16*J16)/K16</f>
        <v>0</v>
      </c>
      <c r="M16" s="381">
        <f>ROUNDUP(L16,0)</f>
        <v>0</v>
      </c>
      <c r="N16" s="1051">
        <f>ROUNDDOWN(M16/1,0)</f>
        <v>0</v>
      </c>
      <c r="O16" s="1052"/>
      <c r="P16" s="1053"/>
      <c r="R16" s="1076">
        <f>N16</f>
        <v>0</v>
      </c>
      <c r="S16" s="1077"/>
      <c r="T16" s="1078"/>
      <c r="U16" s="404">
        <f>(R16*1)+T16</f>
        <v>0</v>
      </c>
      <c r="V16" s="402">
        <f>U16*100</f>
        <v>0</v>
      </c>
      <c r="W16" s="546" t="s">
        <v>312</v>
      </c>
    </row>
    <row r="17" spans="1:23" s="124" customFormat="1" ht="18" x14ac:dyDescent="0.2">
      <c r="A17" s="157"/>
      <c r="B17" s="768"/>
      <c r="C17" s="632"/>
      <c r="D17" s="622"/>
      <c r="E17" s="1023" t="s">
        <v>366</v>
      </c>
      <c r="F17" s="1024" t="s">
        <v>135</v>
      </c>
      <c r="G17" s="624" t="s">
        <v>198</v>
      </c>
      <c r="H17" s="871"/>
      <c r="I17" s="880">
        <f t="shared" si="2"/>
        <v>0</v>
      </c>
      <c r="J17" s="881">
        <v>1</v>
      </c>
      <c r="K17" s="657">
        <v>31.5</v>
      </c>
      <c r="L17" s="447">
        <f>(I17*J17)/K17</f>
        <v>0</v>
      </c>
      <c r="M17" s="399">
        <f>ROUNDUP(L17,0)</f>
        <v>0</v>
      </c>
      <c r="N17" s="1094">
        <f>ROUNDDOWN(M17/1,0)</f>
        <v>0</v>
      </c>
      <c r="O17" s="1095"/>
      <c r="P17" s="1096"/>
      <c r="R17" s="1097">
        <f>N17</f>
        <v>0</v>
      </c>
      <c r="S17" s="1098"/>
      <c r="T17" s="1099"/>
      <c r="U17" s="377">
        <f>(R17*1)+T17</f>
        <v>0</v>
      </c>
      <c r="V17" s="601">
        <f>U17*35</f>
        <v>0</v>
      </c>
      <c r="W17" s="547" t="s">
        <v>312</v>
      </c>
    </row>
    <row r="18" spans="1:23" ht="18" x14ac:dyDescent="0.2">
      <c r="A18" s="198"/>
      <c r="B18" s="235" t="s">
        <v>370</v>
      </c>
      <c r="C18" s="235"/>
      <c r="D18" s="235"/>
      <c r="E18" s="252"/>
      <c r="F18" s="253"/>
      <c r="G18" s="229"/>
      <c r="H18" s="236"/>
      <c r="I18" s="221"/>
      <c r="J18" s="236"/>
      <c r="K18" s="239"/>
      <c r="L18" s="222"/>
      <c r="M18" s="223"/>
      <c r="N18" s="1086"/>
      <c r="O18" s="1086"/>
      <c r="P18" s="1086"/>
      <c r="Q18" s="124"/>
      <c r="R18" s="1100"/>
      <c r="S18" s="1100"/>
      <c r="T18" s="1100"/>
      <c r="U18" s="124"/>
      <c r="V18" s="391"/>
    </row>
    <row r="19" spans="1:23" ht="15.75" x14ac:dyDescent="0.2">
      <c r="A19" s="198"/>
      <c r="B19" s="235"/>
      <c r="C19" s="235"/>
      <c r="D19" s="235"/>
      <c r="E19" s="226"/>
      <c r="F19" s="238"/>
      <c r="G19" s="229"/>
      <c r="H19" s="254"/>
      <c r="I19" s="221"/>
      <c r="J19" s="236"/>
      <c r="K19" s="239"/>
      <c r="L19" s="222"/>
      <c r="M19" s="223"/>
      <c r="N19" s="1086"/>
      <c r="O19" s="1086"/>
      <c r="P19" s="1086"/>
      <c r="Q19" s="124"/>
      <c r="R19" s="1100"/>
      <c r="S19" s="1100"/>
      <c r="T19" s="1100"/>
      <c r="U19" s="124"/>
      <c r="V19" s="391"/>
    </row>
    <row r="20" spans="1:23" ht="15.75" x14ac:dyDescent="0.2">
      <c r="A20" s="198"/>
      <c r="B20" s="200" t="s">
        <v>42</v>
      </c>
      <c r="C20" s="200"/>
      <c r="D20" s="200"/>
      <c r="E20" s="201"/>
      <c r="F20" s="200"/>
      <c r="G20" s="201"/>
      <c r="H20" s="202"/>
      <c r="I20" s="203"/>
      <c r="J20" s="200"/>
      <c r="K20" s="202"/>
      <c r="L20" s="204"/>
      <c r="M20" s="201"/>
      <c r="N20" s="1086"/>
      <c r="O20" s="1086"/>
      <c r="P20" s="1086"/>
      <c r="Q20" s="124"/>
      <c r="R20" s="1100"/>
      <c r="S20" s="1100"/>
      <c r="T20" s="1100"/>
      <c r="U20" s="124"/>
      <c r="V20" s="391"/>
    </row>
    <row r="21" spans="1:23" ht="15.75" x14ac:dyDescent="0.2">
      <c r="A21" s="198"/>
      <c r="B21" s="200"/>
      <c r="C21" s="200"/>
      <c r="D21" s="200"/>
      <c r="E21" s="201"/>
      <c r="F21" s="200"/>
      <c r="G21" s="201"/>
      <c r="H21" s="202"/>
      <c r="I21" s="203"/>
      <c r="J21" s="200"/>
      <c r="K21" s="202"/>
      <c r="L21" s="204"/>
      <c r="M21" s="201"/>
      <c r="N21" s="1086"/>
      <c r="O21" s="1086"/>
      <c r="P21" s="1086"/>
      <c r="Q21" s="124"/>
      <c r="R21" s="1100"/>
      <c r="S21" s="1100"/>
      <c r="T21" s="1100"/>
      <c r="U21" s="124"/>
      <c r="V21" s="391"/>
    </row>
    <row r="22" spans="1:23" ht="15.75" x14ac:dyDescent="0.2">
      <c r="A22" s="198"/>
      <c r="B22" s="200"/>
      <c r="C22" s="200"/>
      <c r="D22" s="200"/>
      <c r="E22" s="201"/>
      <c r="F22" s="200"/>
      <c r="G22" s="201"/>
      <c r="H22" s="202"/>
      <c r="I22" s="203"/>
      <c r="J22" s="200"/>
      <c r="K22" s="202"/>
      <c r="L22" s="204"/>
      <c r="M22" s="201"/>
      <c r="N22" s="1086"/>
      <c r="O22" s="1086"/>
      <c r="P22" s="1086"/>
      <c r="Q22" s="124"/>
      <c r="R22" s="1100"/>
      <c r="S22" s="1100"/>
      <c r="T22" s="1100"/>
      <c r="U22" s="124"/>
      <c r="V22" s="391"/>
    </row>
    <row r="23" spans="1:23" ht="15.75" x14ac:dyDescent="0.2">
      <c r="A23" s="198"/>
      <c r="B23" s="200"/>
      <c r="C23" s="200"/>
      <c r="D23" s="200"/>
      <c r="E23" s="903"/>
      <c r="F23" s="904"/>
      <c r="G23" s="905"/>
      <c r="H23" s="906"/>
      <c r="I23" s="201"/>
      <c r="J23" s="200"/>
      <c r="K23" s="905"/>
      <c r="L23" s="907"/>
      <c r="M23" s="201"/>
      <c r="N23" s="1086"/>
      <c r="O23" s="1086"/>
      <c r="P23" s="1086"/>
      <c r="Q23" s="124"/>
      <c r="R23" s="1100"/>
      <c r="S23" s="1100"/>
      <c r="T23" s="1100"/>
      <c r="U23" s="124"/>
      <c r="V23" s="391"/>
    </row>
    <row r="24" spans="1:23" x14ac:dyDescent="0.2">
      <c r="A24" s="199"/>
      <c r="B24" s="200"/>
      <c r="C24" s="200"/>
      <c r="D24" s="200"/>
      <c r="E24" s="903"/>
      <c r="F24" s="904"/>
      <c r="G24" s="905"/>
      <c r="H24" s="906"/>
      <c r="I24" s="201"/>
      <c r="J24" s="200"/>
      <c r="K24" s="905"/>
      <c r="L24" s="907"/>
      <c r="M24" s="201"/>
    </row>
    <row r="25" spans="1:23" ht="15.75" x14ac:dyDescent="0.2">
      <c r="A25" s="199"/>
      <c r="B25" s="235"/>
      <c r="C25" s="235"/>
      <c r="D25" s="235"/>
      <c r="E25" s="237"/>
      <c r="F25" s="238"/>
      <c r="G25" s="229"/>
      <c r="H25" s="221"/>
      <c r="I25" s="221"/>
      <c r="J25" s="236"/>
      <c r="K25" s="239"/>
      <c r="L25" s="222"/>
      <c r="M25" s="223"/>
    </row>
    <row r="26" spans="1:23" ht="15.75" x14ac:dyDescent="0.2">
      <c r="A26" s="199"/>
      <c r="B26" s="235"/>
      <c r="C26" s="235"/>
      <c r="D26" s="235"/>
      <c r="E26" s="237"/>
      <c r="F26" s="238"/>
      <c r="G26" s="229"/>
      <c r="H26" s="221"/>
      <c r="I26" s="221"/>
      <c r="J26" s="236"/>
      <c r="K26" s="239"/>
      <c r="L26" s="222"/>
      <c r="M26" s="223"/>
    </row>
    <row r="27" spans="1:23" ht="15.75" x14ac:dyDescent="0.2">
      <c r="B27" s="234"/>
      <c r="C27" s="234"/>
      <c r="D27" s="234"/>
      <c r="E27" s="237"/>
      <c r="F27" s="238"/>
      <c r="G27" s="229"/>
      <c r="H27" s="221"/>
      <c r="I27" s="221"/>
      <c r="J27" s="236"/>
      <c r="K27" s="239"/>
      <c r="L27" s="222"/>
      <c r="M27" s="223"/>
    </row>
    <row r="28" spans="1:23" ht="15.75" x14ac:dyDescent="0.2">
      <c r="B28" s="235"/>
      <c r="C28" s="235"/>
      <c r="D28" s="235"/>
      <c r="E28" s="237"/>
      <c r="F28" s="238"/>
      <c r="G28" s="229"/>
      <c r="H28" s="221"/>
      <c r="I28" s="221"/>
      <c r="J28" s="236"/>
      <c r="K28" s="239"/>
      <c r="L28" s="222"/>
      <c r="M28" s="223"/>
    </row>
    <row r="29" spans="1:23" ht="15.75" x14ac:dyDescent="0.2">
      <c r="A29" s="175"/>
      <c r="B29" s="234"/>
      <c r="C29" s="234"/>
      <c r="D29" s="234"/>
      <c r="E29" s="237"/>
      <c r="F29" s="238"/>
      <c r="G29" s="229"/>
      <c r="H29" s="221"/>
      <c r="I29" s="221"/>
      <c r="J29" s="236"/>
      <c r="K29" s="239"/>
      <c r="L29" s="222"/>
      <c r="M29" s="223"/>
    </row>
    <row r="30" spans="1:23" ht="15.75" x14ac:dyDescent="0.2">
      <c r="A30" s="175"/>
      <c r="B30" s="235"/>
      <c r="C30" s="235"/>
      <c r="D30" s="235"/>
      <c r="E30" s="237"/>
      <c r="F30" s="238"/>
      <c r="G30" s="229"/>
      <c r="H30" s="221"/>
      <c r="I30" s="221"/>
      <c r="J30" s="236"/>
      <c r="K30" s="239"/>
      <c r="L30" s="222"/>
      <c r="M30" s="223"/>
    </row>
    <row r="31" spans="1:23" ht="15.75" x14ac:dyDescent="0.2">
      <c r="A31" s="175"/>
      <c r="B31" s="234"/>
      <c r="C31" s="234"/>
      <c r="D31" s="234"/>
      <c r="E31" s="237"/>
      <c r="F31" s="238"/>
      <c r="G31" s="229"/>
      <c r="H31" s="221"/>
      <c r="I31" s="221"/>
      <c r="J31" s="236"/>
      <c r="K31" s="239"/>
      <c r="L31" s="222"/>
      <c r="M31" s="223"/>
    </row>
    <row r="32" spans="1:23" ht="15.75" x14ac:dyDescent="0.2">
      <c r="A32" s="175"/>
      <c r="B32" s="246"/>
      <c r="C32" s="246"/>
      <c r="D32" s="246"/>
      <c r="E32" s="247"/>
      <c r="F32" s="248"/>
      <c r="G32" s="249"/>
      <c r="H32" s="249"/>
      <c r="I32" s="220"/>
      <c r="J32" s="246"/>
      <c r="K32" s="249"/>
      <c r="L32" s="250"/>
      <c r="M32" s="206"/>
    </row>
    <row r="33" spans="1:13" x14ac:dyDescent="0.2">
      <c r="A33" s="175"/>
      <c r="E33" s="186"/>
      <c r="F33" s="188"/>
      <c r="G33" s="189"/>
      <c r="H33" s="190"/>
      <c r="I33" s="185"/>
      <c r="J33" s="187"/>
      <c r="K33" s="189"/>
      <c r="L33" s="191"/>
      <c r="M33" s="175"/>
    </row>
    <row r="34" spans="1:13" x14ac:dyDescent="0.2">
      <c r="A34" s="175"/>
      <c r="B34" s="234"/>
      <c r="C34" s="234"/>
      <c r="D34" s="234"/>
      <c r="E34" s="255"/>
      <c r="F34" s="234"/>
      <c r="G34" s="255"/>
      <c r="H34" s="256"/>
      <c r="I34" s="257"/>
      <c r="J34" s="234"/>
      <c r="K34" s="256"/>
      <c r="L34" s="258"/>
      <c r="M34" s="259"/>
    </row>
    <row r="35" spans="1:13" x14ac:dyDescent="0.2">
      <c r="A35" s="175"/>
      <c r="B35" s="234"/>
      <c r="C35" s="234"/>
      <c r="D35" s="234"/>
      <c r="E35" s="255"/>
      <c r="F35" s="234"/>
      <c r="G35" s="255"/>
      <c r="H35" s="256"/>
      <c r="I35" s="257"/>
      <c r="J35" s="234"/>
      <c r="K35" s="256"/>
      <c r="L35" s="258"/>
      <c r="M35" s="259"/>
    </row>
    <row r="36" spans="1:13" x14ac:dyDescent="0.2">
      <c r="A36" s="175"/>
      <c r="B36" s="234"/>
      <c r="C36" s="234"/>
      <c r="D36" s="234"/>
      <c r="E36" s="255"/>
      <c r="F36" s="234"/>
      <c r="G36" s="255"/>
      <c r="H36" s="256"/>
      <c r="I36" s="257"/>
      <c r="J36" s="234"/>
      <c r="K36" s="256"/>
      <c r="L36" s="258"/>
      <c r="M36" s="259"/>
    </row>
    <row r="37" spans="1:13" x14ac:dyDescent="0.2">
      <c r="A37" s="175"/>
      <c r="B37" s="260"/>
      <c r="C37" s="260"/>
      <c r="D37" s="260"/>
      <c r="E37" s="261"/>
      <c r="F37" s="262"/>
      <c r="G37" s="263"/>
      <c r="H37" s="264"/>
      <c r="I37" s="259"/>
      <c r="J37" s="260"/>
      <c r="K37" s="263"/>
      <c r="L37" s="265"/>
      <c r="M37" s="259"/>
    </row>
    <row r="38" spans="1:13" x14ac:dyDescent="0.2">
      <c r="A38" s="175"/>
      <c r="B38" s="260"/>
      <c r="C38" s="260"/>
      <c r="D38" s="260"/>
      <c r="E38" s="261"/>
      <c r="F38" s="262"/>
      <c r="G38" s="263"/>
      <c r="H38" s="264"/>
      <c r="I38" s="259"/>
      <c r="J38" s="260"/>
      <c r="K38" s="263"/>
      <c r="L38" s="265"/>
      <c r="M38" s="259"/>
    </row>
    <row r="39" spans="1:13" x14ac:dyDescent="0.2">
      <c r="A39" s="175"/>
      <c r="M39" s="187"/>
    </row>
  </sheetData>
  <sheetProtection insertRows="0"/>
  <protectedRanges>
    <protectedRange sqref="B1:D1" name="Bereich1_1_1_1_1_1_1_1_1"/>
    <protectedRange sqref="B2:D2 A1:A3" name="Bereich1_1_1_1_1_1_1_1"/>
    <protectedRange sqref="E1:M3" name="Bereich1_1_1_1_1_1_1_1_5"/>
    <protectedRange sqref="A4" name="Bereich1_1_1_1_1_1_1_1_4_1"/>
    <protectedRange sqref="B4:D4" name="Bereich1_1_1_1_1_1_1_1_3_1_1_1"/>
    <protectedRange sqref="J4" name="Bereich1_1_1_1_1_1_1_1_3_1_2"/>
    <protectedRange sqref="E4" name="Bereich1_1_1_1_1_1_1_1_3_1_3"/>
    <protectedRange sqref="F4" name="Bereich1_1_1_1_1_1_1_1_3_1_4"/>
    <protectedRange sqref="G4" name="Bereich1_1_1_1_1_1_1_1_3_1_5"/>
    <protectedRange sqref="H4" name="Bereich1_1_1_1_1_1_1_1_3_1_6"/>
    <protectedRange sqref="I4" name="Bereich1_1_1_1_1_1_1_1_3_1_7"/>
    <protectedRange sqref="K4" name="Bereich1_1_1_1_1_1_1_1_3_1_8"/>
    <protectedRange sqref="L4" name="Bereich1_1_1_1_1_1_1_1_3_1_2_1"/>
    <protectedRange sqref="M4" name="Bereich1_1_1_1_1_1_1_1_3_1_2_3"/>
    <protectedRange sqref="U4" name="Bereich1_1_1_1_1_1_1_1_3_1_2_5"/>
  </protectedRanges>
  <mergeCells count="35">
    <mergeCell ref="B4:B5"/>
    <mergeCell ref="C4:C5"/>
    <mergeCell ref="D4:D5"/>
    <mergeCell ref="J4:J5"/>
    <mergeCell ref="E4:E5"/>
    <mergeCell ref="F4:F5"/>
    <mergeCell ref="G4:G5"/>
    <mergeCell ref="H4:H5"/>
    <mergeCell ref="I4:I5"/>
    <mergeCell ref="K4:K5"/>
    <mergeCell ref="L4:L5"/>
    <mergeCell ref="M4:M5"/>
    <mergeCell ref="N4:P4"/>
    <mergeCell ref="W4:W5"/>
    <mergeCell ref="U4:U5"/>
    <mergeCell ref="V4:V5"/>
    <mergeCell ref="R9:T9"/>
    <mergeCell ref="R16:T16"/>
    <mergeCell ref="N19:P19"/>
    <mergeCell ref="R4:T4"/>
    <mergeCell ref="R17:T17"/>
    <mergeCell ref="R18:T18"/>
    <mergeCell ref="R19:T19"/>
    <mergeCell ref="N9:P9"/>
    <mergeCell ref="N16:P16"/>
    <mergeCell ref="N17:P17"/>
    <mergeCell ref="N18:P18"/>
    <mergeCell ref="N20:P20"/>
    <mergeCell ref="R20:T20"/>
    <mergeCell ref="R21:T21"/>
    <mergeCell ref="R22:T22"/>
    <mergeCell ref="R23:T23"/>
    <mergeCell ref="N21:P21"/>
    <mergeCell ref="N22:P22"/>
    <mergeCell ref="N23:P23"/>
  </mergeCells>
  <pageMargins left="0.25" right="0.25" top="0.75" bottom="0.75" header="0.3" footer="0.3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B70AC-6E07-47BC-9950-374C0AC2BCA0}">
  <sheetPr>
    <pageSetUpPr fitToPage="1"/>
  </sheetPr>
  <dimension ref="A1:U37"/>
  <sheetViews>
    <sheetView topLeftCell="A2" zoomScale="120" zoomScaleNormal="120" workbookViewId="0">
      <selection activeCell="I23" sqref="I23"/>
    </sheetView>
  </sheetViews>
  <sheetFormatPr baseColWidth="10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48.5703125" style="36" bestFit="1" customWidth="1"/>
    <col min="6" max="6" width="7.7109375" style="37" bestFit="1" customWidth="1"/>
    <col min="7" max="7" width="12.5703125" style="31" customWidth="1"/>
    <col min="8" max="8" width="10.7109375" style="28" customWidth="1"/>
    <col min="9" max="9" width="10.7109375" style="131" customWidth="1"/>
    <col min="10" max="10" width="10.7109375" style="30" customWidth="1"/>
    <col min="11" max="11" width="12.5703125" style="38" customWidth="1"/>
    <col min="12" max="12" width="8.7109375" style="124" bestFit="1" customWidth="1"/>
    <col min="13" max="13" width="2.140625" style="376" bestFit="1" customWidth="1"/>
    <col min="14" max="14" width="5.140625" style="124" bestFit="1" customWidth="1"/>
    <col min="15" max="15" width="2.28515625" style="124" customWidth="1"/>
    <col min="16" max="16" width="8.7109375" style="124" bestFit="1" customWidth="1"/>
    <col min="17" max="17" width="2.140625" style="376" bestFit="1" customWidth="1"/>
    <col min="18" max="18" width="5.140625" style="124" bestFit="1" customWidth="1"/>
    <col min="19" max="19" width="11.42578125" style="124"/>
    <col min="20" max="20" width="9" style="124" customWidth="1"/>
    <col min="21" max="16384" width="11.42578125" style="3"/>
  </cols>
  <sheetData>
    <row r="1" spans="1:21" x14ac:dyDescent="0.25">
      <c r="A1" s="93"/>
      <c r="B1" s="92" t="s">
        <v>157</v>
      </c>
      <c r="C1" s="92"/>
      <c r="D1" s="92"/>
      <c r="E1" s="96"/>
      <c r="F1" s="97"/>
      <c r="G1" s="98"/>
      <c r="H1" s="99"/>
      <c r="I1" s="121"/>
      <c r="J1" s="101"/>
      <c r="K1" s="102"/>
      <c r="L1" s="125"/>
      <c r="M1" s="676"/>
    </row>
    <row r="2" spans="1:21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121"/>
      <c r="J2" s="101"/>
      <c r="K2" s="102"/>
      <c r="L2" s="125"/>
      <c r="M2" s="676"/>
    </row>
    <row r="3" spans="1:21" ht="23.25" customHeight="1" x14ac:dyDescent="0.2">
      <c r="A3"/>
      <c r="B3" s="39" t="s">
        <v>176</v>
      </c>
      <c r="C3" s="39"/>
      <c r="D3" s="39"/>
    </row>
    <row r="4" spans="1:21" s="4" customFormat="1" x14ac:dyDescent="0.2">
      <c r="A4" s="6"/>
      <c r="B4" s="1068" t="s">
        <v>185</v>
      </c>
      <c r="C4" s="1069" t="s">
        <v>183</v>
      </c>
      <c r="D4" s="1068" t="s">
        <v>184</v>
      </c>
      <c r="E4" s="1067" t="s">
        <v>0</v>
      </c>
      <c r="F4" s="1070" t="s">
        <v>1</v>
      </c>
      <c r="G4" s="1067" t="s">
        <v>196</v>
      </c>
      <c r="H4" s="1083" t="s">
        <v>189</v>
      </c>
      <c r="I4" s="1067" t="s">
        <v>197</v>
      </c>
      <c r="J4" s="1060" t="s">
        <v>32</v>
      </c>
      <c r="K4" s="1061" t="s">
        <v>192</v>
      </c>
      <c r="L4" s="1062" t="s">
        <v>196</v>
      </c>
      <c r="M4" s="1062"/>
      <c r="N4" s="1063"/>
      <c r="O4" s="139"/>
      <c r="P4" s="1064" t="s">
        <v>202</v>
      </c>
      <c r="Q4" s="1065"/>
      <c r="R4" s="1066"/>
      <c r="S4" s="1058" t="s">
        <v>32</v>
      </c>
      <c r="T4" s="1059" t="s">
        <v>200</v>
      </c>
      <c r="U4" s="1057" t="s">
        <v>368</v>
      </c>
    </row>
    <row r="5" spans="1:21" ht="32.25" thickBot="1" x14ac:dyDescent="0.25">
      <c r="A5" s="80"/>
      <c r="B5" s="1068"/>
      <c r="C5" s="1069"/>
      <c r="D5" s="1068"/>
      <c r="E5" s="1067"/>
      <c r="F5" s="1070"/>
      <c r="G5" s="1067"/>
      <c r="H5" s="1084"/>
      <c r="I5" s="1067"/>
      <c r="J5" s="1060"/>
      <c r="K5" s="1061"/>
      <c r="L5" s="561" t="s">
        <v>195</v>
      </c>
      <c r="M5" s="559"/>
      <c r="N5" s="560" t="s">
        <v>194</v>
      </c>
      <c r="O5" s="390"/>
      <c r="P5" s="397" t="s">
        <v>195</v>
      </c>
      <c r="Q5" s="403" t="s">
        <v>193</v>
      </c>
      <c r="R5" s="398" t="s">
        <v>194</v>
      </c>
      <c r="S5" s="1058"/>
      <c r="T5" s="1059"/>
      <c r="U5" s="1057"/>
    </row>
    <row r="6" spans="1:21" ht="31.5" customHeight="1" thickTop="1" thickBot="1" x14ac:dyDescent="0.25">
      <c r="A6" s="81"/>
      <c r="B6" s="330"/>
      <c r="C6" s="347"/>
      <c r="D6" s="347"/>
      <c r="E6" s="347"/>
      <c r="F6" s="354"/>
      <c r="G6" s="355"/>
      <c r="H6" s="444">
        <v>50</v>
      </c>
      <c r="I6" s="372"/>
      <c r="J6" s="357"/>
      <c r="K6" s="357"/>
      <c r="T6" s="390"/>
    </row>
    <row r="7" spans="1:21" ht="16.5" thickTop="1" x14ac:dyDescent="0.2">
      <c r="A7" s="82"/>
      <c r="B7" s="695"/>
      <c r="C7" s="696"/>
      <c r="D7" s="695"/>
      <c r="E7" s="697" t="s">
        <v>371</v>
      </c>
      <c r="F7" s="698"/>
      <c r="G7" s="699"/>
      <c r="H7" s="700"/>
      <c r="I7" s="681"/>
      <c r="J7" s="682"/>
      <c r="K7" s="222"/>
      <c r="L7" s="687"/>
      <c r="M7" s="688"/>
      <c r="N7" s="689"/>
      <c r="O7" s="566"/>
      <c r="P7" s="687"/>
      <c r="Q7" s="688"/>
      <c r="R7" s="689"/>
      <c r="S7" s="687"/>
      <c r="T7" s="690"/>
      <c r="U7" s="651"/>
    </row>
    <row r="8" spans="1:21" ht="15.75" customHeight="1" x14ac:dyDescent="0.2">
      <c r="A8" s="83"/>
      <c r="B8" s="769"/>
      <c r="C8" s="627"/>
      <c r="D8" s="48"/>
      <c r="E8" s="85" t="s">
        <v>230</v>
      </c>
      <c r="F8" s="73" t="s">
        <v>108</v>
      </c>
      <c r="G8" s="616" t="s">
        <v>211</v>
      </c>
      <c r="H8" s="837">
        <f t="shared" ref="H8:H23" si="0">$H$6</f>
        <v>50</v>
      </c>
      <c r="I8" s="151">
        <v>8</v>
      </c>
      <c r="J8" s="79">
        <f>H8/I8</f>
        <v>6.25</v>
      </c>
      <c r="K8" s="74">
        <f>ROUNDUP(J8,0)</f>
        <v>7</v>
      </c>
      <c r="L8" s="1051">
        <f>ROUNDDOWN(K8/1,0)</f>
        <v>7</v>
      </c>
      <c r="M8" s="1052"/>
      <c r="N8" s="1053"/>
      <c r="P8" s="1054">
        <f t="shared" ref="P8:P18" si="1">L8</f>
        <v>7</v>
      </c>
      <c r="Q8" s="1055"/>
      <c r="R8" s="1056"/>
      <c r="S8" s="383">
        <f>(P8*1)+R8</f>
        <v>7</v>
      </c>
      <c r="T8" s="450">
        <f>S8*1</f>
        <v>7</v>
      </c>
      <c r="U8" s="214" t="s">
        <v>211</v>
      </c>
    </row>
    <row r="9" spans="1:21" ht="15.75" customHeight="1" x14ac:dyDescent="0.2">
      <c r="A9" s="83"/>
      <c r="B9" s="769"/>
      <c r="C9" s="627"/>
      <c r="D9" s="48"/>
      <c r="E9" s="85" t="s">
        <v>298</v>
      </c>
      <c r="F9" s="73" t="s">
        <v>297</v>
      </c>
      <c r="G9" s="616" t="s">
        <v>211</v>
      </c>
      <c r="H9" s="837">
        <f t="shared" si="0"/>
        <v>50</v>
      </c>
      <c r="I9" s="151">
        <v>8</v>
      </c>
      <c r="J9" s="79">
        <f t="shared" ref="J9:J23" si="2">H9/I9</f>
        <v>6.25</v>
      </c>
      <c r="K9" s="74">
        <f t="shared" ref="K9:K23" si="3">ROUNDUP(J9,0)</f>
        <v>7</v>
      </c>
      <c r="L9" s="1051">
        <f>ROUNDDOWN(K9/1,0)</f>
        <v>7</v>
      </c>
      <c r="M9" s="1052"/>
      <c r="N9" s="1053"/>
      <c r="P9" s="1054">
        <f t="shared" si="1"/>
        <v>7</v>
      </c>
      <c r="Q9" s="1055"/>
      <c r="R9" s="1056"/>
      <c r="S9" s="383">
        <f>(P9*1)+R9</f>
        <v>7</v>
      </c>
      <c r="T9" s="450">
        <f t="shared" ref="T9:T23" si="4">S9*1</f>
        <v>7</v>
      </c>
      <c r="U9" s="214" t="s">
        <v>211</v>
      </c>
    </row>
    <row r="10" spans="1:21" ht="15.75" customHeight="1" x14ac:dyDescent="0.2">
      <c r="A10" s="34"/>
      <c r="B10" s="769"/>
      <c r="C10" s="627"/>
      <c r="D10" s="48"/>
      <c r="E10" s="478" t="s">
        <v>216</v>
      </c>
      <c r="F10" s="73" t="s">
        <v>401</v>
      </c>
      <c r="G10" s="616" t="s">
        <v>215</v>
      </c>
      <c r="H10" s="837">
        <f t="shared" si="0"/>
        <v>50</v>
      </c>
      <c r="I10" s="151">
        <f>1/50</f>
        <v>0.02</v>
      </c>
      <c r="J10" s="79">
        <f t="shared" si="2"/>
        <v>2500</v>
      </c>
      <c r="K10" s="74">
        <f t="shared" si="3"/>
        <v>2500</v>
      </c>
      <c r="L10" s="432">
        <f>ROUNDDOWN(K10/416,0)</f>
        <v>6</v>
      </c>
      <c r="M10" s="378" t="s">
        <v>193</v>
      </c>
      <c r="N10" s="433">
        <f>MOD(K10,416)</f>
        <v>4</v>
      </c>
      <c r="P10" s="860">
        <f t="shared" si="1"/>
        <v>6</v>
      </c>
      <c r="Q10" s="160" t="s">
        <v>193</v>
      </c>
      <c r="R10" s="861">
        <f>N10</f>
        <v>4</v>
      </c>
      <c r="S10" s="515">
        <f>(P10*416)+R10</f>
        <v>2500</v>
      </c>
      <c r="T10" s="450">
        <f>S10</f>
        <v>2500</v>
      </c>
      <c r="U10" s="214" t="s">
        <v>262</v>
      </c>
    </row>
    <row r="11" spans="1:21" ht="15.75" customHeight="1" x14ac:dyDescent="0.2">
      <c r="A11" s="83"/>
      <c r="B11" s="769"/>
      <c r="C11" s="627"/>
      <c r="D11" s="48"/>
      <c r="E11" s="479" t="s">
        <v>217</v>
      </c>
      <c r="F11" s="73" t="s">
        <v>109</v>
      </c>
      <c r="G11" s="616" t="s">
        <v>215</v>
      </c>
      <c r="H11" s="837">
        <f t="shared" si="0"/>
        <v>50</v>
      </c>
      <c r="I11" s="151">
        <f>1/50</f>
        <v>0.02</v>
      </c>
      <c r="J11" s="79">
        <f t="shared" si="2"/>
        <v>2500</v>
      </c>
      <c r="K11" s="74">
        <f t="shared" si="3"/>
        <v>2500</v>
      </c>
      <c r="L11" s="432">
        <f>ROUNDDOWN(K11/416,0)</f>
        <v>6</v>
      </c>
      <c r="M11" s="378" t="s">
        <v>193</v>
      </c>
      <c r="N11" s="433">
        <f>MOD(K11,416)</f>
        <v>4</v>
      </c>
      <c r="P11" s="860">
        <f t="shared" si="1"/>
        <v>6</v>
      </c>
      <c r="Q11" s="160" t="s">
        <v>193</v>
      </c>
      <c r="R11" s="861">
        <f>N11</f>
        <v>4</v>
      </c>
      <c r="S11" s="515">
        <f>(P11*416)+R11</f>
        <v>2500</v>
      </c>
      <c r="T11" s="450">
        <f>S11</f>
        <v>2500</v>
      </c>
      <c r="U11" s="214" t="s">
        <v>262</v>
      </c>
    </row>
    <row r="12" spans="1:21" ht="15.75" customHeight="1" x14ac:dyDescent="0.2">
      <c r="A12" s="76"/>
      <c r="B12" s="769"/>
      <c r="C12" s="627"/>
      <c r="D12" s="48"/>
      <c r="E12" s="474" t="s">
        <v>218</v>
      </c>
      <c r="F12" s="310" t="s">
        <v>117</v>
      </c>
      <c r="G12" s="616" t="s">
        <v>215</v>
      </c>
      <c r="H12" s="914">
        <f t="shared" si="0"/>
        <v>50</v>
      </c>
      <c r="I12" s="151">
        <f>1/33</f>
        <v>3.0303030303030304E-2</v>
      </c>
      <c r="J12" s="79">
        <f t="shared" si="2"/>
        <v>1650</v>
      </c>
      <c r="K12" s="74">
        <f t="shared" si="3"/>
        <v>1650</v>
      </c>
      <c r="L12" s="432">
        <f>ROUNDDOWN(K12/350,0)</f>
        <v>4</v>
      </c>
      <c r="M12" s="378" t="s">
        <v>193</v>
      </c>
      <c r="N12" s="433">
        <f>MOD(K12,350)</f>
        <v>250</v>
      </c>
      <c r="P12" s="860">
        <f t="shared" si="1"/>
        <v>4</v>
      </c>
      <c r="Q12" s="160" t="s">
        <v>193</v>
      </c>
      <c r="R12" s="861">
        <f>N12</f>
        <v>250</v>
      </c>
      <c r="S12" s="515">
        <f>(P12*350)+R12</f>
        <v>1650</v>
      </c>
      <c r="T12" s="450">
        <f>S12</f>
        <v>1650</v>
      </c>
      <c r="U12" s="214" t="s">
        <v>262</v>
      </c>
    </row>
    <row r="13" spans="1:21" ht="15.75" customHeight="1" x14ac:dyDescent="0.2">
      <c r="A13" s="76"/>
      <c r="B13" s="769"/>
      <c r="C13" s="677"/>
      <c r="D13" s="311"/>
      <c r="E13" s="477" t="s">
        <v>219</v>
      </c>
      <c r="F13" s="310" t="s">
        <v>110</v>
      </c>
      <c r="G13" s="616" t="s">
        <v>215</v>
      </c>
      <c r="H13" s="914">
        <f t="shared" si="0"/>
        <v>50</v>
      </c>
      <c r="I13" s="151">
        <f>1/33</f>
        <v>3.0303030303030304E-2</v>
      </c>
      <c r="J13" s="79">
        <f t="shared" si="2"/>
        <v>1650</v>
      </c>
      <c r="K13" s="74">
        <f t="shared" si="3"/>
        <v>1650</v>
      </c>
      <c r="L13" s="432">
        <f>ROUNDDOWN(K13/240,0)</f>
        <v>6</v>
      </c>
      <c r="M13" s="378" t="s">
        <v>193</v>
      </c>
      <c r="N13" s="433">
        <f>MOD(K13,240)</f>
        <v>210</v>
      </c>
      <c r="P13" s="860">
        <f t="shared" si="1"/>
        <v>6</v>
      </c>
      <c r="Q13" s="160" t="s">
        <v>193</v>
      </c>
      <c r="R13" s="861">
        <f>N13</f>
        <v>210</v>
      </c>
      <c r="S13" s="515">
        <f>(P13*240)+R13</f>
        <v>1650</v>
      </c>
      <c r="T13" s="450">
        <f>S13</f>
        <v>1650</v>
      </c>
      <c r="U13" s="214" t="s">
        <v>262</v>
      </c>
    </row>
    <row r="14" spans="1:21" ht="15.75" customHeight="1" x14ac:dyDescent="0.2">
      <c r="A14" s="76"/>
      <c r="B14" s="775"/>
      <c r="C14" s="679"/>
      <c r="D14" s="678"/>
      <c r="E14" s="686" t="s">
        <v>372</v>
      </c>
      <c r="F14" s="680"/>
      <c r="G14" s="691"/>
      <c r="H14" s="915"/>
      <c r="I14" s="681"/>
      <c r="J14" s="682"/>
      <c r="K14" s="222"/>
      <c r="L14" s="683"/>
      <c r="M14" s="219"/>
      <c r="N14" s="684"/>
      <c r="O14" s="566"/>
      <c r="P14" s="917"/>
      <c r="Q14" s="918"/>
      <c r="R14" s="919"/>
      <c r="S14" s="685"/>
      <c r="T14" s="957"/>
      <c r="U14" s="692"/>
    </row>
    <row r="15" spans="1:21" ht="15.75" customHeight="1" x14ac:dyDescent="0.2">
      <c r="A15" s="32"/>
      <c r="B15" s="769"/>
      <c r="C15" s="627"/>
      <c r="D15" s="48"/>
      <c r="E15" s="479" t="s">
        <v>212</v>
      </c>
      <c r="F15" s="73" t="s">
        <v>70</v>
      </c>
      <c r="G15" s="616" t="s">
        <v>190</v>
      </c>
      <c r="H15" s="837">
        <f t="shared" si="0"/>
        <v>50</v>
      </c>
      <c r="I15" s="151">
        <f>700/30</f>
        <v>23.333333333333332</v>
      </c>
      <c r="J15" s="79">
        <f t="shared" si="2"/>
        <v>2.1428571428571428</v>
      </c>
      <c r="K15" s="74">
        <f t="shared" si="3"/>
        <v>3</v>
      </c>
      <c r="L15" s="1051">
        <f>ROUNDDOWN(K15/1,0)</f>
        <v>3</v>
      </c>
      <c r="M15" s="1052"/>
      <c r="N15" s="1053"/>
      <c r="P15" s="1054">
        <f t="shared" si="1"/>
        <v>3</v>
      </c>
      <c r="Q15" s="1055"/>
      <c r="R15" s="1056"/>
      <c r="S15" s="383">
        <f>(P15*1)+R15</f>
        <v>3</v>
      </c>
      <c r="T15" s="450">
        <f t="shared" si="4"/>
        <v>3</v>
      </c>
      <c r="U15" s="546" t="s">
        <v>261</v>
      </c>
    </row>
    <row r="16" spans="1:21" ht="15.75" customHeight="1" x14ac:dyDescent="0.2">
      <c r="A16" s="81"/>
      <c r="B16" s="769"/>
      <c r="C16" s="627"/>
      <c r="D16" s="48"/>
      <c r="E16" s="479" t="s">
        <v>212</v>
      </c>
      <c r="F16" s="73" t="s">
        <v>71</v>
      </c>
      <c r="G16" s="616" t="s">
        <v>190</v>
      </c>
      <c r="H16" s="837">
        <f t="shared" si="0"/>
        <v>50</v>
      </c>
      <c r="I16" s="151">
        <f>350/30</f>
        <v>11.666666666666666</v>
      </c>
      <c r="J16" s="79">
        <f t="shared" si="2"/>
        <v>4.2857142857142856</v>
      </c>
      <c r="K16" s="74">
        <f t="shared" si="3"/>
        <v>5</v>
      </c>
      <c r="L16" s="1051">
        <f>ROUNDDOWN(K16/1,0)</f>
        <v>5</v>
      </c>
      <c r="M16" s="1052"/>
      <c r="N16" s="1053"/>
      <c r="P16" s="1054">
        <f t="shared" si="1"/>
        <v>5</v>
      </c>
      <c r="Q16" s="1055"/>
      <c r="R16" s="1056"/>
      <c r="S16" s="383">
        <f>(P16*1)+R16</f>
        <v>5</v>
      </c>
      <c r="T16" s="450">
        <f t="shared" si="4"/>
        <v>5</v>
      </c>
      <c r="U16" s="546" t="s">
        <v>261</v>
      </c>
    </row>
    <row r="17" spans="1:21" ht="15.75" customHeight="1" x14ac:dyDescent="0.2">
      <c r="A17" s="83"/>
      <c r="B17" s="769"/>
      <c r="C17" s="627"/>
      <c r="D17" s="48"/>
      <c r="E17" s="479" t="s">
        <v>212</v>
      </c>
      <c r="F17" s="73" t="s">
        <v>72</v>
      </c>
      <c r="G17" s="616" t="s">
        <v>3</v>
      </c>
      <c r="H17" s="837">
        <f t="shared" si="0"/>
        <v>50</v>
      </c>
      <c r="I17" s="151">
        <f>20.5/30</f>
        <v>0.68333333333333335</v>
      </c>
      <c r="J17" s="79">
        <f t="shared" si="2"/>
        <v>73.170731707317074</v>
      </c>
      <c r="K17" s="74">
        <f t="shared" si="3"/>
        <v>74</v>
      </c>
      <c r="L17" s="432">
        <f>ROUNDDOWN(K17/48,0)</f>
        <v>1</v>
      </c>
      <c r="M17" s="378" t="s">
        <v>193</v>
      </c>
      <c r="N17" s="433">
        <f>MOD(K17,48)</f>
        <v>26</v>
      </c>
      <c r="P17" s="860">
        <f t="shared" si="1"/>
        <v>1</v>
      </c>
      <c r="Q17" s="160" t="s">
        <v>193</v>
      </c>
      <c r="R17" s="861">
        <f>N17</f>
        <v>26</v>
      </c>
      <c r="S17" s="383">
        <f>(P17*48)+R17</f>
        <v>74</v>
      </c>
      <c r="T17" s="450">
        <f t="shared" si="4"/>
        <v>74</v>
      </c>
      <c r="U17" s="546" t="s">
        <v>3</v>
      </c>
    </row>
    <row r="18" spans="1:21" ht="15.75" customHeight="1" x14ac:dyDescent="0.2">
      <c r="A18" s="76"/>
      <c r="B18" s="769"/>
      <c r="C18" s="627"/>
      <c r="D18" s="48"/>
      <c r="E18" s="475" t="s">
        <v>213</v>
      </c>
      <c r="F18" s="310" t="s">
        <v>70</v>
      </c>
      <c r="G18" s="616" t="s">
        <v>190</v>
      </c>
      <c r="H18" s="914">
        <f t="shared" si="0"/>
        <v>50</v>
      </c>
      <c r="I18" s="151">
        <f>700/20</f>
        <v>35</v>
      </c>
      <c r="J18" s="79">
        <f t="shared" si="2"/>
        <v>1.4285714285714286</v>
      </c>
      <c r="K18" s="74">
        <f t="shared" si="3"/>
        <v>2</v>
      </c>
      <c r="L18" s="1051">
        <f>ROUNDDOWN(K18/1,0)</f>
        <v>2</v>
      </c>
      <c r="M18" s="1052"/>
      <c r="N18" s="1053"/>
      <c r="P18" s="1054">
        <f t="shared" si="1"/>
        <v>2</v>
      </c>
      <c r="Q18" s="1055"/>
      <c r="R18" s="1056"/>
      <c r="S18" s="383">
        <f>(P18*1)+R18</f>
        <v>2</v>
      </c>
      <c r="T18" s="450">
        <f t="shared" si="4"/>
        <v>2</v>
      </c>
      <c r="U18" s="546" t="s">
        <v>261</v>
      </c>
    </row>
    <row r="19" spans="1:21" ht="15.75" customHeight="1" x14ac:dyDescent="0.2">
      <c r="A19" s="76"/>
      <c r="B19" s="769"/>
      <c r="C19" s="627"/>
      <c r="D19" s="48"/>
      <c r="E19" s="475" t="s">
        <v>213</v>
      </c>
      <c r="F19" s="310" t="s">
        <v>71</v>
      </c>
      <c r="G19" s="616" t="s">
        <v>190</v>
      </c>
      <c r="H19" s="914">
        <f t="shared" si="0"/>
        <v>50</v>
      </c>
      <c r="I19" s="151">
        <f>350/20</f>
        <v>17.5</v>
      </c>
      <c r="J19" s="79">
        <f t="shared" si="2"/>
        <v>2.8571428571428572</v>
      </c>
      <c r="K19" s="74">
        <f t="shared" si="3"/>
        <v>3</v>
      </c>
      <c r="L19" s="1051">
        <f>ROUNDDOWN(K19/1,0)</f>
        <v>3</v>
      </c>
      <c r="M19" s="1052"/>
      <c r="N19" s="1053"/>
      <c r="P19" s="1054">
        <f>L19</f>
        <v>3</v>
      </c>
      <c r="Q19" s="1055"/>
      <c r="R19" s="1056"/>
      <c r="S19" s="383">
        <f>(P19*1)+R19</f>
        <v>3</v>
      </c>
      <c r="T19" s="450">
        <f t="shared" si="4"/>
        <v>3</v>
      </c>
      <c r="U19" s="546" t="s">
        <v>261</v>
      </c>
    </row>
    <row r="20" spans="1:21" ht="15.75" customHeight="1" x14ac:dyDescent="0.2">
      <c r="A20" s="76"/>
      <c r="B20" s="769"/>
      <c r="C20" s="627"/>
      <c r="D20" s="48"/>
      <c r="E20" s="475" t="s">
        <v>213</v>
      </c>
      <c r="F20" s="310" t="s">
        <v>72</v>
      </c>
      <c r="G20" s="616" t="s">
        <v>3</v>
      </c>
      <c r="H20" s="914">
        <f t="shared" si="0"/>
        <v>50</v>
      </c>
      <c r="I20" s="151">
        <f>20.5/20</f>
        <v>1.0249999999999999</v>
      </c>
      <c r="J20" s="79">
        <f t="shared" si="2"/>
        <v>48.780487804878049</v>
      </c>
      <c r="K20" s="74">
        <f t="shared" si="3"/>
        <v>49</v>
      </c>
      <c r="L20" s="432">
        <f>ROUNDDOWN(K20/48,0)</f>
        <v>1</v>
      </c>
      <c r="M20" s="378" t="s">
        <v>193</v>
      </c>
      <c r="N20" s="433">
        <f>MOD(K20,48)</f>
        <v>1</v>
      </c>
      <c r="O20" s="386"/>
      <c r="P20" s="860">
        <f>L20</f>
        <v>1</v>
      </c>
      <c r="Q20" s="160" t="s">
        <v>193</v>
      </c>
      <c r="R20" s="863">
        <f>N20</f>
        <v>1</v>
      </c>
      <c r="S20" s="383">
        <f>(P20*48)+R20</f>
        <v>49</v>
      </c>
      <c r="T20" s="450">
        <f t="shared" si="4"/>
        <v>49</v>
      </c>
      <c r="U20" s="546" t="s">
        <v>3</v>
      </c>
    </row>
    <row r="21" spans="1:21" ht="15.75" customHeight="1" x14ac:dyDescent="0.2">
      <c r="A21" s="76"/>
      <c r="B21" s="769"/>
      <c r="C21" s="627"/>
      <c r="D21" s="48"/>
      <c r="E21" s="476" t="s">
        <v>214</v>
      </c>
      <c r="F21" s="310" t="s">
        <v>70</v>
      </c>
      <c r="G21" s="616" t="s">
        <v>190</v>
      </c>
      <c r="H21" s="837">
        <f t="shared" si="0"/>
        <v>50</v>
      </c>
      <c r="I21" s="151">
        <f>700/30</f>
        <v>23.333333333333332</v>
      </c>
      <c r="J21" s="79">
        <f t="shared" si="2"/>
        <v>2.1428571428571428</v>
      </c>
      <c r="K21" s="74">
        <f t="shared" si="3"/>
        <v>3</v>
      </c>
      <c r="L21" s="1051">
        <f>ROUNDDOWN(K21/1,0)</f>
        <v>3</v>
      </c>
      <c r="M21" s="1052"/>
      <c r="N21" s="1053"/>
      <c r="P21" s="1054">
        <f>L21</f>
        <v>3</v>
      </c>
      <c r="Q21" s="1055"/>
      <c r="R21" s="1056"/>
      <c r="S21" s="383">
        <f>(P21*1)+R21</f>
        <v>3</v>
      </c>
      <c r="T21" s="450">
        <f t="shared" si="4"/>
        <v>3</v>
      </c>
      <c r="U21" s="546" t="s">
        <v>261</v>
      </c>
    </row>
    <row r="22" spans="1:21" ht="15.75" customHeight="1" x14ac:dyDescent="0.2">
      <c r="A22" s="76"/>
      <c r="B22" s="769"/>
      <c r="C22" s="627"/>
      <c r="D22" s="48"/>
      <c r="E22" s="476" t="s">
        <v>214</v>
      </c>
      <c r="F22" s="310" t="s">
        <v>71</v>
      </c>
      <c r="G22" s="616" t="s">
        <v>190</v>
      </c>
      <c r="H22" s="837">
        <f t="shared" si="0"/>
        <v>50</v>
      </c>
      <c r="I22" s="151">
        <f>350/30</f>
        <v>11.666666666666666</v>
      </c>
      <c r="J22" s="79">
        <f t="shared" si="2"/>
        <v>4.2857142857142856</v>
      </c>
      <c r="K22" s="74">
        <f t="shared" si="3"/>
        <v>5</v>
      </c>
      <c r="L22" s="1051">
        <f>ROUNDDOWN(K22/1,0)</f>
        <v>5</v>
      </c>
      <c r="M22" s="1052"/>
      <c r="N22" s="1053"/>
      <c r="P22" s="1054">
        <f>L22</f>
        <v>5</v>
      </c>
      <c r="Q22" s="1055"/>
      <c r="R22" s="1056"/>
      <c r="S22" s="383">
        <f>(P22*1)+R22</f>
        <v>5</v>
      </c>
      <c r="T22" s="450">
        <f t="shared" si="4"/>
        <v>5</v>
      </c>
      <c r="U22" s="546" t="s">
        <v>261</v>
      </c>
    </row>
    <row r="23" spans="1:21" ht="15.75" customHeight="1" x14ac:dyDescent="0.2">
      <c r="A23" s="76"/>
      <c r="B23" s="772"/>
      <c r="C23" s="653"/>
      <c r="D23" s="621"/>
      <c r="E23" s="693" t="s">
        <v>214</v>
      </c>
      <c r="F23" s="73" t="s">
        <v>72</v>
      </c>
      <c r="G23" s="654" t="s">
        <v>3</v>
      </c>
      <c r="H23" s="916">
        <f t="shared" si="0"/>
        <v>50</v>
      </c>
      <c r="I23" s="455">
        <f>20.5/30</f>
        <v>0.68333333333333335</v>
      </c>
      <c r="J23" s="656">
        <f t="shared" si="2"/>
        <v>73.170731707317074</v>
      </c>
      <c r="K23" s="694">
        <f t="shared" si="3"/>
        <v>74</v>
      </c>
      <c r="L23" s="538">
        <f>ROUNDDOWN(K23/48,0)</f>
        <v>1</v>
      </c>
      <c r="M23" s="401" t="s">
        <v>193</v>
      </c>
      <c r="N23" s="434">
        <f>MOD(K23,48)</f>
        <v>26</v>
      </c>
      <c r="O23" s="600"/>
      <c r="P23" s="864">
        <f>L23</f>
        <v>1</v>
      </c>
      <c r="Q23" s="865" t="s">
        <v>193</v>
      </c>
      <c r="R23" s="920">
        <f>N23</f>
        <v>26</v>
      </c>
      <c r="S23" s="400">
        <f>(P23*48)+R23</f>
        <v>74</v>
      </c>
      <c r="T23" s="542">
        <f t="shared" si="4"/>
        <v>74</v>
      </c>
      <c r="U23" s="547" t="s">
        <v>3</v>
      </c>
    </row>
    <row r="24" spans="1:21" x14ac:dyDescent="0.2">
      <c r="A24" s="76"/>
      <c r="B24" s="20" t="s">
        <v>129</v>
      </c>
      <c r="C24" s="302"/>
      <c r="D24" s="302"/>
      <c r="E24" s="226"/>
      <c r="F24" s="238"/>
      <c r="G24" s="229"/>
      <c r="H24" s="254"/>
      <c r="I24" s="396"/>
      <c r="J24" s="222"/>
      <c r="K24" s="222"/>
      <c r="T24" s="391"/>
    </row>
    <row r="25" spans="1:21" x14ac:dyDescent="0.2">
      <c r="A25" s="19"/>
      <c r="B25" s="235"/>
      <c r="C25" s="235"/>
      <c r="D25" s="235"/>
      <c r="E25" s="237"/>
      <c r="F25" s="238"/>
      <c r="G25" s="229"/>
      <c r="H25" s="254"/>
      <c r="I25" s="396"/>
      <c r="J25" s="222"/>
      <c r="K25" s="222"/>
      <c r="L25" s="473"/>
      <c r="N25" s="513"/>
      <c r="P25" s="473"/>
      <c r="R25" s="513"/>
      <c r="T25" s="391"/>
    </row>
    <row r="26" spans="1:21" x14ac:dyDescent="0.2">
      <c r="A26" s="19"/>
      <c r="B26" s="43" t="s">
        <v>42</v>
      </c>
      <c r="C26" s="43"/>
      <c r="D26" s="43"/>
      <c r="E26" s="50"/>
      <c r="F26" s="43"/>
      <c r="G26" s="50"/>
      <c r="H26" s="47"/>
      <c r="I26" s="912"/>
      <c r="J26" s="77"/>
      <c r="K26" s="50"/>
      <c r="L26" s="913"/>
      <c r="M26" s="160"/>
      <c r="N26" s="513"/>
      <c r="P26" s="473"/>
      <c r="R26" s="513"/>
      <c r="T26" s="391"/>
    </row>
    <row r="27" spans="1:21" x14ac:dyDescent="0.2">
      <c r="A27" s="19"/>
      <c r="B27" s="43"/>
      <c r="C27" s="43"/>
      <c r="D27" s="43"/>
      <c r="E27" s="50"/>
      <c r="F27" s="43"/>
      <c r="G27" s="50"/>
      <c r="H27" s="47"/>
      <c r="I27" s="162"/>
      <c r="J27" s="77"/>
      <c r="K27" s="50"/>
      <c r="L27" s="161"/>
      <c r="M27" s="160"/>
      <c r="T27" s="391"/>
    </row>
    <row r="28" spans="1:21" x14ac:dyDescent="0.2">
      <c r="B28" s="43"/>
      <c r="C28" s="43"/>
      <c r="D28" s="43"/>
      <c r="E28" s="50"/>
      <c r="F28" s="43"/>
      <c r="G28" s="50"/>
      <c r="H28" s="47"/>
      <c r="I28" s="162"/>
      <c r="J28" s="77"/>
      <c r="K28" s="50"/>
      <c r="L28" s="161"/>
      <c r="M28" s="160"/>
    </row>
    <row r="29" spans="1:21" x14ac:dyDescent="0.2">
      <c r="B29" s="43"/>
      <c r="C29" s="43"/>
      <c r="D29" s="43"/>
      <c r="E29" s="895"/>
      <c r="F29" s="891"/>
      <c r="G29" s="892"/>
      <c r="H29" s="50"/>
      <c r="I29" s="162"/>
      <c r="J29" s="894"/>
      <c r="K29" s="50"/>
      <c r="L29" s="161"/>
      <c r="M29" s="160"/>
    </row>
    <row r="30" spans="1:21" x14ac:dyDescent="0.2">
      <c r="B30" s="43"/>
      <c r="C30" s="43"/>
      <c r="D30" s="43"/>
      <c r="E30" s="895"/>
      <c r="F30" s="891"/>
      <c r="G30" s="892"/>
      <c r="H30" s="50"/>
      <c r="I30" s="806"/>
      <c r="J30" s="894"/>
      <c r="K30" s="50"/>
      <c r="L30" s="161"/>
      <c r="M30" s="160"/>
    </row>
    <row r="31" spans="1:21" x14ac:dyDescent="0.2">
      <c r="B31" s="235"/>
      <c r="C31" s="235"/>
      <c r="D31" s="235"/>
      <c r="E31" s="227"/>
      <c r="F31" s="238"/>
      <c r="G31" s="229"/>
      <c r="H31" s="221"/>
      <c r="I31" s="410"/>
      <c r="J31" s="222"/>
      <c r="K31" s="222"/>
    </row>
    <row r="32" spans="1:21" x14ac:dyDescent="0.2">
      <c r="B32" s="235"/>
      <c r="C32" s="235"/>
      <c r="D32" s="235"/>
      <c r="E32" s="226"/>
      <c r="F32" s="238"/>
      <c r="G32" s="229"/>
      <c r="H32" s="221"/>
      <c r="J32" s="222"/>
      <c r="K32" s="222"/>
    </row>
    <row r="33" spans="2:11" x14ac:dyDescent="0.2">
      <c r="B33" s="235"/>
      <c r="C33" s="235"/>
      <c r="D33" s="235"/>
      <c r="E33" s="237"/>
      <c r="F33" s="238"/>
      <c r="G33" s="229"/>
      <c r="H33" s="221"/>
      <c r="J33" s="222"/>
      <c r="K33" s="222"/>
    </row>
    <row r="34" spans="2:11" x14ac:dyDescent="0.2">
      <c r="B34" s="235"/>
      <c r="C34" s="235"/>
      <c r="D34" s="235"/>
      <c r="E34" s="237"/>
      <c r="F34" s="238"/>
      <c r="G34" s="229"/>
      <c r="H34" s="221"/>
      <c r="J34" s="222"/>
      <c r="K34" s="222"/>
    </row>
    <row r="35" spans="2:11" x14ac:dyDescent="0.2">
      <c r="B35" s="235"/>
      <c r="C35" s="235"/>
      <c r="D35" s="235"/>
      <c r="E35" s="252"/>
      <c r="F35" s="238"/>
      <c r="G35" s="229"/>
      <c r="H35" s="221"/>
      <c r="J35" s="222"/>
      <c r="K35" s="222"/>
    </row>
    <row r="36" spans="2:11" x14ac:dyDescent="0.2">
      <c r="B36" s="235"/>
      <c r="C36" s="235"/>
      <c r="D36" s="235"/>
      <c r="E36" s="252"/>
      <c r="F36" s="253"/>
      <c r="G36" s="229"/>
      <c r="H36" s="221"/>
      <c r="J36" s="222"/>
      <c r="K36" s="222"/>
    </row>
    <row r="37" spans="2:11" x14ac:dyDescent="0.2">
      <c r="B37" s="20"/>
      <c r="C37" s="20"/>
      <c r="D37" s="20"/>
      <c r="E37" s="8"/>
      <c r="F37" s="2"/>
      <c r="G37" s="1"/>
      <c r="H37" s="4"/>
      <c r="J37" s="13"/>
      <c r="K37" s="3"/>
    </row>
  </sheetData>
  <protectedRanges>
    <protectedRange sqref="B1:D1" name="Bereich1_1_1_1_1_1_1_1_1"/>
    <protectedRange sqref="B2:D2 A1:A3" name="Bereich1_1_1_1_1_1_1_1"/>
    <protectedRange sqref="E1:H3 J1:K3" name="Bereich1_1_1_1_1_1_1_1_5"/>
    <protectedRange sqref="A4" name="Bereich1_1_1_1_1_1_1_1_4_1"/>
    <protectedRange sqref="B4:D4" name="Bereich1_1_1_1_1_1_1_1_3_1_1_3"/>
    <protectedRange sqref="E4" name="Bereich1_1_1_1_1_1_1_1_3_1_4"/>
    <protectedRange sqref="F4" name="Bereich1_1_1_1_1_1_1_1_3_1_5"/>
    <protectedRange sqref="G4" name="Bereich1_1_1_1_1_1_1_1_3_1_6"/>
    <protectedRange sqref="H4" name="Bereich1_1_1_1_1_1_1_1_3_1_8_1"/>
    <protectedRange sqref="I1:I3" name="Bereich1_1_1_1_1_1_1_1_5_2"/>
    <protectedRange sqref="I4" name="Bereich1_1_1_1_1_1_1_1_3_1_10_1"/>
    <protectedRange sqref="J4" name="Bereich1_1_1_1_1_1_1_1_3_1_2_2"/>
    <protectedRange sqref="K4" name="Bereich1_1_1_1_1_1_1_1_3_1_2_5"/>
    <protectedRange sqref="S4" name="Bereich1_1_1_1_1_1_1_1_3_1_2_6"/>
  </protectedRanges>
  <mergeCells count="31">
    <mergeCell ref="U4:U5"/>
    <mergeCell ref="S4:S5"/>
    <mergeCell ref="T4:T5"/>
    <mergeCell ref="B4:B5"/>
    <mergeCell ref="C4:C5"/>
    <mergeCell ref="D4:D5"/>
    <mergeCell ref="E4:E5"/>
    <mergeCell ref="F4:F5"/>
    <mergeCell ref="G4:G5"/>
    <mergeCell ref="H4:H5"/>
    <mergeCell ref="I4:I5"/>
    <mergeCell ref="L8:N8"/>
    <mergeCell ref="P8:R8"/>
    <mergeCell ref="L9:N9"/>
    <mergeCell ref="P9:R9"/>
    <mergeCell ref="J4:J5"/>
    <mergeCell ref="K4:K5"/>
    <mergeCell ref="L4:N4"/>
    <mergeCell ref="P4:R4"/>
    <mergeCell ref="L18:N18"/>
    <mergeCell ref="P18:R18"/>
    <mergeCell ref="L15:N15"/>
    <mergeCell ref="P15:R15"/>
    <mergeCell ref="L16:N16"/>
    <mergeCell ref="P16:R16"/>
    <mergeCell ref="L22:N22"/>
    <mergeCell ref="P22:R22"/>
    <mergeCell ref="L19:N19"/>
    <mergeCell ref="P19:R19"/>
    <mergeCell ref="L21:N21"/>
    <mergeCell ref="P21:R21"/>
  </mergeCells>
  <pageMargins left="0.25" right="0.25" top="0.75" bottom="0.75" header="0.3" footer="0.3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EE2A-D162-4B4C-82DD-8A0F261F3EBC}">
  <sheetPr>
    <pageSetUpPr fitToPage="1"/>
  </sheetPr>
  <dimension ref="A1:N36"/>
  <sheetViews>
    <sheetView zoomScaleNormal="100" workbookViewId="0">
      <selection activeCell="M26" sqref="M26"/>
    </sheetView>
  </sheetViews>
  <sheetFormatPr baseColWidth="10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35.140625" style="36" customWidth="1"/>
    <col min="6" max="6" width="7.7109375" style="37" bestFit="1" customWidth="1"/>
    <col min="7" max="7" width="11.140625" style="31" customWidth="1"/>
    <col min="8" max="8" width="10.5703125" style="28" bestFit="1" customWidth="1"/>
    <col min="9" max="9" width="10" style="28" customWidth="1"/>
    <col min="10" max="10" width="15.7109375" style="31" customWidth="1"/>
    <col min="11" max="11" width="10.7109375" style="30" customWidth="1"/>
    <col min="12" max="12" width="12.5703125" style="38" customWidth="1"/>
    <col min="13" max="13" width="20" style="124" customWidth="1"/>
    <col min="14" max="16384" width="11.42578125" style="3"/>
  </cols>
  <sheetData>
    <row r="1" spans="1:14" x14ac:dyDescent="0.25">
      <c r="A1" s="93"/>
      <c r="B1" s="92" t="s">
        <v>157</v>
      </c>
      <c r="C1" s="92"/>
      <c r="D1" s="92"/>
      <c r="E1" s="96"/>
      <c r="F1" s="97"/>
      <c r="G1" s="98"/>
      <c r="H1" s="99"/>
      <c r="I1" s="530"/>
      <c r="J1" s="98"/>
      <c r="K1" s="101"/>
      <c r="L1" s="102"/>
    </row>
    <row r="2" spans="1:14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530"/>
      <c r="J2" s="98"/>
      <c r="K2" s="101"/>
      <c r="L2" s="102"/>
    </row>
    <row r="3" spans="1:14" ht="23.25" x14ac:dyDescent="0.2">
      <c r="A3"/>
      <c r="B3" s="39" t="s">
        <v>175</v>
      </c>
      <c r="C3" s="39"/>
      <c r="D3" s="39"/>
      <c r="I3" s="531"/>
    </row>
    <row r="4" spans="1:14" s="4" customFormat="1" ht="15.75" customHeight="1" x14ac:dyDescent="0.2">
      <c r="A4" s="6"/>
      <c r="B4" s="1068" t="s">
        <v>185</v>
      </c>
      <c r="C4" s="1069" t="s">
        <v>183</v>
      </c>
      <c r="D4" s="1068" t="s">
        <v>184</v>
      </c>
      <c r="E4" s="1067" t="s">
        <v>0</v>
      </c>
      <c r="F4" s="1070" t="s">
        <v>1</v>
      </c>
      <c r="G4" s="1067" t="s">
        <v>196</v>
      </c>
      <c r="H4" s="1082" t="s">
        <v>201</v>
      </c>
      <c r="I4" s="1103" t="s">
        <v>189</v>
      </c>
      <c r="J4" s="1067" t="s">
        <v>197</v>
      </c>
      <c r="K4" s="1060" t="s">
        <v>32</v>
      </c>
      <c r="L4" s="1061" t="s">
        <v>192</v>
      </c>
      <c r="M4" s="1064" t="s">
        <v>238</v>
      </c>
      <c r="N4" s="1057" t="s">
        <v>368</v>
      </c>
    </row>
    <row r="5" spans="1:14" ht="25.5" customHeight="1" thickBot="1" x14ac:dyDescent="0.25">
      <c r="A5" s="81"/>
      <c r="B5" s="1068"/>
      <c r="C5" s="1069"/>
      <c r="D5" s="1068"/>
      <c r="E5" s="1067"/>
      <c r="F5" s="1070"/>
      <c r="G5" s="1067"/>
      <c r="H5" s="1082"/>
      <c r="I5" s="1104"/>
      <c r="J5" s="1067"/>
      <c r="K5" s="1060"/>
      <c r="L5" s="1061"/>
      <c r="M5" s="1105"/>
      <c r="N5" s="1057"/>
    </row>
    <row r="6" spans="1:14" ht="16.5" thickBot="1" x14ac:dyDescent="0.25">
      <c r="A6" s="81"/>
      <c r="B6" s="701"/>
      <c r="C6" s="480"/>
      <c r="D6" s="480"/>
      <c r="E6" s="481"/>
      <c r="F6" s="35"/>
      <c r="H6" s="482"/>
      <c r="I6" s="928">
        <v>10</v>
      </c>
      <c r="J6" s="359"/>
      <c r="L6" s="30"/>
      <c r="M6" s="390"/>
    </row>
    <row r="7" spans="1:14" x14ac:dyDescent="0.2">
      <c r="A7" s="32"/>
      <c r="B7" s="658"/>
      <c r="C7" s="658"/>
      <c r="D7" s="658"/>
      <c r="E7" s="660" t="s">
        <v>387</v>
      </c>
      <c r="F7" s="661"/>
      <c r="G7" s="702"/>
      <c r="H7" s="644"/>
      <c r="I7" s="927"/>
      <c r="J7" s="703"/>
      <c r="K7" s="664"/>
      <c r="L7" s="704"/>
      <c r="M7" s="708"/>
      <c r="N7" s="651"/>
    </row>
    <row r="8" spans="1:14" x14ac:dyDescent="0.2">
      <c r="A8" s="81"/>
      <c r="B8" s="769"/>
      <c r="C8" s="627"/>
      <c r="D8" s="48"/>
      <c r="E8" s="86" t="s">
        <v>8</v>
      </c>
      <c r="F8" s="75" t="s">
        <v>111</v>
      </c>
      <c r="G8" s="87" t="s">
        <v>190</v>
      </c>
      <c r="H8" s="921">
        <v>100</v>
      </c>
      <c r="I8" s="922">
        <f t="shared" ref="I8:I15" si="0">$I$6</f>
        <v>10</v>
      </c>
      <c r="J8" s="88">
        <f>700/H8</f>
        <v>7</v>
      </c>
      <c r="K8" s="79">
        <f t="shared" ref="K8:K15" si="1">I8/J8</f>
        <v>1.4285714285714286</v>
      </c>
      <c r="L8" s="74">
        <f>ROUNDUP(K8,0)</f>
        <v>2</v>
      </c>
      <c r="M8" s="925">
        <f>L8</f>
        <v>2</v>
      </c>
      <c r="N8" s="546" t="s">
        <v>261</v>
      </c>
    </row>
    <row r="9" spans="1:14" x14ac:dyDescent="0.2">
      <c r="A9" s="83"/>
      <c r="B9" s="769"/>
      <c r="C9" s="627"/>
      <c r="D9" s="48"/>
      <c r="E9" s="85" t="s">
        <v>232</v>
      </c>
      <c r="F9" s="73" t="s">
        <v>127</v>
      </c>
      <c r="G9" s="87" t="s">
        <v>31</v>
      </c>
      <c r="H9" s="875"/>
      <c r="I9" s="922">
        <f t="shared" si="0"/>
        <v>10</v>
      </c>
      <c r="J9" s="88">
        <f>1/4</f>
        <v>0.25</v>
      </c>
      <c r="K9" s="79">
        <f t="shared" si="1"/>
        <v>40</v>
      </c>
      <c r="L9" s="74">
        <f t="shared" ref="L9:L16" si="2">ROUNDUP(K9,0)</f>
        <v>40</v>
      </c>
      <c r="M9" s="925">
        <f t="shared" ref="M9:M16" si="3">L9</f>
        <v>40</v>
      </c>
      <c r="N9" s="214" t="s">
        <v>319</v>
      </c>
    </row>
    <row r="10" spans="1:14" x14ac:dyDescent="0.2">
      <c r="A10" s="76"/>
      <c r="B10" s="769"/>
      <c r="C10" s="627"/>
      <c r="D10" s="48"/>
      <c r="E10" s="85" t="s">
        <v>233</v>
      </c>
      <c r="F10" s="73" t="s">
        <v>127</v>
      </c>
      <c r="G10" s="87" t="s">
        <v>31</v>
      </c>
      <c r="H10" s="875"/>
      <c r="I10" s="922">
        <f t="shared" si="0"/>
        <v>10</v>
      </c>
      <c r="J10" s="88">
        <f>1/11</f>
        <v>9.0909090909090912E-2</v>
      </c>
      <c r="K10" s="79">
        <f t="shared" si="1"/>
        <v>110</v>
      </c>
      <c r="L10" s="74">
        <f t="shared" si="2"/>
        <v>110</v>
      </c>
      <c r="M10" s="925">
        <f t="shared" si="3"/>
        <v>110</v>
      </c>
      <c r="N10" s="214" t="s">
        <v>319</v>
      </c>
    </row>
    <row r="11" spans="1:14" x14ac:dyDescent="0.2">
      <c r="A11" s="76"/>
      <c r="B11" s="769"/>
      <c r="C11" s="627"/>
      <c r="D11" s="48"/>
      <c r="E11" s="85" t="s">
        <v>234</v>
      </c>
      <c r="F11" s="73" t="s">
        <v>127</v>
      </c>
      <c r="G11" s="87" t="s">
        <v>31</v>
      </c>
      <c r="H11" s="875"/>
      <c r="I11" s="922">
        <f t="shared" si="0"/>
        <v>10</v>
      </c>
      <c r="J11" s="88">
        <f>1/11</f>
        <v>9.0909090909090912E-2</v>
      </c>
      <c r="K11" s="79">
        <f t="shared" si="1"/>
        <v>110</v>
      </c>
      <c r="L11" s="74">
        <f t="shared" si="2"/>
        <v>110</v>
      </c>
      <c r="M11" s="925">
        <f t="shared" si="3"/>
        <v>110</v>
      </c>
      <c r="N11" s="214" t="s">
        <v>319</v>
      </c>
    </row>
    <row r="12" spans="1:14" x14ac:dyDescent="0.2">
      <c r="A12" s="76"/>
      <c r="B12" s="769"/>
      <c r="C12" s="627"/>
      <c r="D12" s="48"/>
      <c r="E12" s="85" t="s">
        <v>235</v>
      </c>
      <c r="F12" s="73" t="s">
        <v>112</v>
      </c>
      <c r="G12" s="87" t="s">
        <v>31</v>
      </c>
      <c r="H12" s="875"/>
      <c r="I12" s="922">
        <f t="shared" si="0"/>
        <v>10</v>
      </c>
      <c r="J12" s="88">
        <f>1/4</f>
        <v>0.25</v>
      </c>
      <c r="K12" s="79">
        <f t="shared" si="1"/>
        <v>40</v>
      </c>
      <c r="L12" s="74">
        <f t="shared" si="2"/>
        <v>40</v>
      </c>
      <c r="M12" s="925">
        <f t="shared" si="3"/>
        <v>40</v>
      </c>
      <c r="N12" s="214" t="s">
        <v>319</v>
      </c>
    </row>
    <row r="13" spans="1:14" x14ac:dyDescent="0.2">
      <c r="A13" s="76"/>
      <c r="B13" s="769"/>
      <c r="C13" s="627"/>
      <c r="D13" s="48"/>
      <c r="E13" s="85" t="s">
        <v>236</v>
      </c>
      <c r="F13" s="73" t="s">
        <v>112</v>
      </c>
      <c r="G13" s="87" t="s">
        <v>31</v>
      </c>
      <c r="H13" s="875"/>
      <c r="I13" s="922">
        <f t="shared" si="0"/>
        <v>10</v>
      </c>
      <c r="J13" s="88">
        <f>1/11</f>
        <v>9.0909090909090912E-2</v>
      </c>
      <c r="K13" s="79">
        <f t="shared" si="1"/>
        <v>110</v>
      </c>
      <c r="L13" s="74">
        <f t="shared" si="2"/>
        <v>110</v>
      </c>
      <c r="M13" s="925">
        <f t="shared" si="3"/>
        <v>110</v>
      </c>
      <c r="N13" s="214" t="s">
        <v>319</v>
      </c>
    </row>
    <row r="14" spans="1:14" x14ac:dyDescent="0.2">
      <c r="A14" s="76"/>
      <c r="B14" s="769"/>
      <c r="C14" s="627"/>
      <c r="D14" s="48"/>
      <c r="E14" s="85" t="s">
        <v>237</v>
      </c>
      <c r="F14" s="73" t="s">
        <v>112</v>
      </c>
      <c r="G14" s="87" t="s">
        <v>31</v>
      </c>
      <c r="H14" s="875"/>
      <c r="I14" s="922">
        <f t="shared" si="0"/>
        <v>10</v>
      </c>
      <c r="J14" s="88">
        <f>1/11</f>
        <v>9.0909090909090912E-2</v>
      </c>
      <c r="K14" s="79">
        <f t="shared" si="1"/>
        <v>110</v>
      </c>
      <c r="L14" s="74">
        <f t="shared" si="2"/>
        <v>110</v>
      </c>
      <c r="M14" s="925">
        <f t="shared" si="3"/>
        <v>110</v>
      </c>
      <c r="N14" s="214" t="s">
        <v>319</v>
      </c>
    </row>
    <row r="15" spans="1:14" x14ac:dyDescent="0.2">
      <c r="A15" s="76"/>
      <c r="B15" s="769"/>
      <c r="C15" s="627"/>
      <c r="D15" s="48"/>
      <c r="E15" s="85" t="s">
        <v>231</v>
      </c>
      <c r="F15" s="73" t="s">
        <v>113</v>
      </c>
      <c r="G15" s="87" t="s">
        <v>211</v>
      </c>
      <c r="H15" s="875"/>
      <c r="I15" s="922">
        <f t="shared" si="0"/>
        <v>10</v>
      </c>
      <c r="J15" s="88">
        <f>3.5</f>
        <v>3.5</v>
      </c>
      <c r="K15" s="79">
        <f t="shared" si="1"/>
        <v>2.8571428571428572</v>
      </c>
      <c r="L15" s="74">
        <f t="shared" si="2"/>
        <v>3</v>
      </c>
      <c r="M15" s="925">
        <f t="shared" si="3"/>
        <v>3</v>
      </c>
      <c r="N15" s="214" t="s">
        <v>211</v>
      </c>
    </row>
    <row r="16" spans="1:14" x14ac:dyDescent="0.2">
      <c r="A16" s="76"/>
      <c r="B16" s="772"/>
      <c r="C16" s="653"/>
      <c r="D16" s="621"/>
      <c r="E16" s="623" t="s">
        <v>78</v>
      </c>
      <c r="F16" s="705" t="s">
        <v>79</v>
      </c>
      <c r="G16" s="706" t="s">
        <v>80</v>
      </c>
      <c r="H16" s="923"/>
      <c r="I16" s="924">
        <v>0</v>
      </c>
      <c r="J16" s="707">
        <f>I16*8</f>
        <v>0</v>
      </c>
      <c r="K16" s="656">
        <f>J16</f>
        <v>0</v>
      </c>
      <c r="L16" s="694">
        <f t="shared" si="2"/>
        <v>0</v>
      </c>
      <c r="M16" s="926">
        <f t="shared" si="3"/>
        <v>0</v>
      </c>
      <c r="N16" s="709" t="s">
        <v>262</v>
      </c>
    </row>
    <row r="17" spans="1:13" x14ac:dyDescent="0.2">
      <c r="A17" s="76"/>
      <c r="B17" s="20" t="s">
        <v>129</v>
      </c>
      <c r="C17" s="331"/>
      <c r="D17" s="331"/>
      <c r="E17" s="218"/>
      <c r="F17" s="215"/>
      <c r="G17" s="213"/>
      <c r="H17" s="221"/>
      <c r="I17" s="221"/>
      <c r="J17" s="216"/>
      <c r="L17" s="30"/>
      <c r="M17" s="391"/>
    </row>
    <row r="18" spans="1:13" x14ac:dyDescent="0.2">
      <c r="A18" s="76"/>
      <c r="B18" s="710" t="s">
        <v>307</v>
      </c>
      <c r="C18" s="331"/>
      <c r="D18" s="331"/>
      <c r="E18" s="218"/>
      <c r="F18" s="215"/>
      <c r="G18" s="213"/>
      <c r="H18" s="221"/>
      <c r="I18" s="221"/>
      <c r="J18" s="216"/>
      <c r="L18" s="30"/>
      <c r="M18" s="391"/>
    </row>
    <row r="19" spans="1:13" x14ac:dyDescent="0.2">
      <c r="A19" s="76"/>
      <c r="B19" s="235"/>
      <c r="C19" s="235"/>
      <c r="D19" s="235"/>
      <c r="E19" s="237"/>
      <c r="F19" s="238"/>
      <c r="G19" s="229"/>
      <c r="H19" s="221"/>
      <c r="I19" s="221"/>
      <c r="J19" s="239"/>
      <c r="L19" s="30"/>
      <c r="M19" s="473"/>
    </row>
    <row r="20" spans="1:13" x14ac:dyDescent="0.2">
      <c r="A20" s="19"/>
      <c r="B20" s="43" t="s">
        <v>42</v>
      </c>
      <c r="C20" s="43"/>
      <c r="D20" s="43"/>
      <c r="E20" s="50"/>
      <c r="F20" s="43"/>
      <c r="G20" s="50"/>
      <c r="H20" s="46"/>
      <c r="I20" s="46"/>
      <c r="J20" s="46"/>
      <c r="L20" s="30"/>
      <c r="M20" s="473"/>
    </row>
    <row r="21" spans="1:13" x14ac:dyDescent="0.2">
      <c r="A21" s="19"/>
      <c r="B21" s="43"/>
      <c r="C21" s="43"/>
      <c r="D21" s="43"/>
      <c r="E21" s="50"/>
      <c r="F21" s="43"/>
      <c r="G21" s="50"/>
      <c r="H21" s="46"/>
      <c r="I21" s="46"/>
      <c r="J21" s="46"/>
      <c r="L21" s="30"/>
      <c r="M21" s="391"/>
    </row>
    <row r="22" spans="1:13" x14ac:dyDescent="0.2">
      <c r="A22" s="19"/>
      <c r="B22" s="43"/>
      <c r="C22" s="43"/>
      <c r="D22" s="43"/>
      <c r="E22" s="50"/>
      <c r="F22" s="43"/>
      <c r="G22" s="50"/>
      <c r="H22" s="46"/>
      <c r="I22" s="46"/>
      <c r="J22" s="46"/>
      <c r="L22" s="30"/>
      <c r="M22" s="473"/>
    </row>
    <row r="23" spans="1:13" x14ac:dyDescent="0.2">
      <c r="B23" s="43"/>
      <c r="C23" s="43"/>
      <c r="D23" s="43"/>
      <c r="E23" s="895"/>
      <c r="F23" s="891"/>
      <c r="G23" s="892"/>
      <c r="H23" s="893"/>
      <c r="I23" s="893"/>
      <c r="J23" s="892"/>
      <c r="L23" s="30"/>
      <c r="M23" s="391"/>
    </row>
    <row r="24" spans="1:13" x14ac:dyDescent="0.2">
      <c r="B24" s="43"/>
      <c r="C24" s="43"/>
      <c r="D24" s="43"/>
      <c r="E24" s="895"/>
      <c r="F24" s="891"/>
      <c r="G24" s="892"/>
      <c r="H24" s="893"/>
      <c r="I24" s="893"/>
      <c r="J24" s="892"/>
      <c r="L24" s="30"/>
      <c r="M24" s="391"/>
    </row>
    <row r="25" spans="1:13" x14ac:dyDescent="0.2">
      <c r="B25" s="480"/>
      <c r="C25" s="480"/>
      <c r="D25" s="480"/>
      <c r="E25" s="481"/>
      <c r="F25" s="35"/>
      <c r="H25" s="482"/>
      <c r="I25" s="482"/>
      <c r="J25" s="359"/>
      <c r="K25" s="487"/>
      <c r="L25" s="3"/>
      <c r="M25" s="391"/>
    </row>
    <row r="26" spans="1:13" x14ac:dyDescent="0.2">
      <c r="B26" s="480"/>
      <c r="C26" s="480"/>
      <c r="D26" s="480"/>
      <c r="E26" s="797"/>
      <c r="F26" s="35"/>
      <c r="H26" s="482"/>
      <c r="I26" s="482"/>
      <c r="J26" s="359"/>
      <c r="K26" s="487"/>
      <c r="L26" s="3"/>
      <c r="M26" s="391"/>
    </row>
    <row r="27" spans="1:13" x14ac:dyDescent="0.2">
      <c r="B27" s="480"/>
      <c r="C27" s="480"/>
      <c r="D27" s="480"/>
      <c r="E27" s="797"/>
      <c r="F27" s="798"/>
      <c r="H27" s="799"/>
      <c r="I27" s="799"/>
      <c r="J27" s="359"/>
      <c r="K27" s="487"/>
      <c r="L27" s="3"/>
    </row>
    <row r="28" spans="1:13" x14ac:dyDescent="0.2">
      <c r="E28" s="8"/>
      <c r="F28" s="2"/>
      <c r="G28" s="1"/>
      <c r="H28" s="18"/>
      <c r="I28" s="18"/>
      <c r="J28" s="1"/>
      <c r="K28" s="13"/>
      <c r="L28" s="3"/>
    </row>
    <row r="29" spans="1:13" x14ac:dyDescent="0.2">
      <c r="K29" s="13"/>
      <c r="L29" s="3"/>
    </row>
    <row r="30" spans="1:13" x14ac:dyDescent="0.2">
      <c r="L30" s="30"/>
    </row>
    <row r="31" spans="1:13" x14ac:dyDescent="0.2">
      <c r="L31" s="30"/>
    </row>
    <row r="32" spans="1:13" x14ac:dyDescent="0.2">
      <c r="L32" s="30"/>
    </row>
    <row r="33" spans="11:12" x14ac:dyDescent="0.2">
      <c r="L33" s="30"/>
    </row>
    <row r="34" spans="11:12" x14ac:dyDescent="0.2">
      <c r="L34" s="30"/>
    </row>
    <row r="35" spans="11:12" x14ac:dyDescent="0.2">
      <c r="L35" s="30"/>
    </row>
    <row r="36" spans="11:12" x14ac:dyDescent="0.2">
      <c r="K36" s="13"/>
      <c r="L36" s="3"/>
    </row>
  </sheetData>
  <sheetProtection insertRows="0"/>
  <protectedRanges>
    <protectedRange sqref="B1:D1" name="Bereich1_1_1_1_1_1_1_1_1"/>
    <protectedRange sqref="B2:D2 A1:A3" name="Bereich1_1_1_1_1_1_1_1"/>
    <protectedRange sqref="E1:J3" name="Bereich1_1_1_1_1_1_1_1_5"/>
    <protectedRange sqref="A4" name="Bereich1_1_1_1_1_1_1_1_4_1"/>
    <protectedRange sqref="E4" name="Bereich1_1_1_1_1_1_1_1_3_1_4"/>
    <protectedRange sqref="D4" name="Bereich1_1_1_1_1_1_1_1_3_1_1_3"/>
    <protectedRange sqref="C4" name="Bereich1_1_1_1_1_1_1_1_3_1_1_4"/>
    <protectedRange sqref="B4" name="Bereich1_1_1_1_1_1_1_1_3_1_1_5"/>
    <protectedRange sqref="F4" name="Bereich1_1_1_1_1_1_1_1_3_1_5"/>
    <protectedRange sqref="G4" name="Bereich1_1_1_1_1_1_1_1_3_1_6"/>
    <protectedRange sqref="I4" name="Bereich1_1_1_1_1_1_1_1_3_1_8_1"/>
    <protectedRange sqref="J4" name="Bereich1_1_1_1_1_1_1_1_3_1_10_1"/>
    <protectedRange sqref="H4" name="Bereich1_1_1_1_1_1_1_1_3_1_6_1"/>
    <protectedRange sqref="K1:L3" name="Bereich1_1_1_1_1_1_1_1_5_1"/>
    <protectedRange sqref="K4" name="Bereich1_1_1_1_1_1_1_1_3_1_2_2_1"/>
    <protectedRange sqref="L4" name="Bereich1_1_1_1_1_1_1_1_3_1_2_5"/>
  </protectedRanges>
  <mergeCells count="13">
    <mergeCell ref="B4:B5"/>
    <mergeCell ref="C4:C5"/>
    <mergeCell ref="D4:D5"/>
    <mergeCell ref="E4:E5"/>
    <mergeCell ref="F4:F5"/>
    <mergeCell ref="N4:N5"/>
    <mergeCell ref="G4:G5"/>
    <mergeCell ref="I4:I5"/>
    <mergeCell ref="J4:J5"/>
    <mergeCell ref="H4:H5"/>
    <mergeCell ref="M4:M5"/>
    <mergeCell ref="K4:K5"/>
    <mergeCell ref="L4:L5"/>
  </mergeCells>
  <pageMargins left="0.25" right="0.25" top="0.75" bottom="0.75" header="0.3" footer="0.3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841FD-3FBD-451A-B39E-3837A783DAE7}">
  <sheetPr>
    <pageSetUpPr fitToPage="1"/>
  </sheetPr>
  <dimension ref="A1:V24"/>
  <sheetViews>
    <sheetView zoomScaleNormal="100" workbookViewId="0">
      <selection activeCell="N26" sqref="N26"/>
    </sheetView>
  </sheetViews>
  <sheetFormatPr baseColWidth="10" defaultRowHeight="15.75" x14ac:dyDescent="0.2"/>
  <cols>
    <col min="1" max="1" width="2.28515625" style="6" customWidth="1"/>
    <col min="2" max="2" width="9.140625" style="35" customWidth="1"/>
    <col min="3" max="3" width="11" style="35" customWidth="1"/>
    <col min="4" max="4" width="8.85546875" style="35" customWidth="1"/>
    <col min="5" max="5" width="54.42578125" style="36" bestFit="1" customWidth="1"/>
    <col min="6" max="6" width="7.7109375" style="37" bestFit="1" customWidth="1"/>
    <col min="7" max="7" width="10.5703125" style="31" customWidth="1"/>
    <col min="8" max="9" width="10.7109375" style="28" customWidth="1"/>
    <col min="10" max="10" width="10.7109375" style="31" customWidth="1"/>
    <col min="11" max="11" width="16.5703125" style="3" bestFit="1" customWidth="1"/>
    <col min="12" max="12" width="9.140625" style="3" bestFit="1" customWidth="1"/>
    <col min="13" max="13" width="8.7109375" style="3" bestFit="1" customWidth="1"/>
    <col min="14" max="14" width="2.140625" style="3" bestFit="1" customWidth="1"/>
    <col min="15" max="15" width="5.140625" style="3" bestFit="1" customWidth="1"/>
    <col min="16" max="16" width="1.7109375" style="3" customWidth="1"/>
    <col min="17" max="17" width="9" style="3" bestFit="1" customWidth="1"/>
    <col min="18" max="18" width="2.140625" style="3" bestFit="1" customWidth="1"/>
    <col min="19" max="19" width="5.140625" style="3" bestFit="1" customWidth="1"/>
    <col min="20" max="20" width="11.140625" style="3" customWidth="1"/>
    <col min="21" max="21" width="5.85546875" style="3" bestFit="1" customWidth="1"/>
    <col min="22" max="16384" width="11.42578125" style="3"/>
  </cols>
  <sheetData>
    <row r="1" spans="1:22" x14ac:dyDescent="0.25">
      <c r="A1" s="93"/>
      <c r="B1" s="92" t="s">
        <v>157</v>
      </c>
      <c r="C1" s="92"/>
      <c r="D1" s="92"/>
      <c r="E1" s="96"/>
      <c r="F1" s="97"/>
      <c r="G1" s="98"/>
      <c r="H1" s="99"/>
      <c r="I1" s="99"/>
      <c r="J1" s="98"/>
    </row>
    <row r="2" spans="1:22" x14ac:dyDescent="0.25">
      <c r="A2" s="93"/>
      <c r="B2" s="105" t="s">
        <v>40</v>
      </c>
      <c r="C2" s="105"/>
      <c r="D2" s="105"/>
      <c r="E2" s="96"/>
      <c r="F2" s="97"/>
      <c r="G2" s="98"/>
      <c r="H2" s="99"/>
      <c r="I2" s="99"/>
      <c r="J2" s="98"/>
    </row>
    <row r="3" spans="1:22" ht="23.25" x14ac:dyDescent="0.2">
      <c r="A3"/>
      <c r="B3" s="39" t="s">
        <v>177</v>
      </c>
      <c r="C3" s="39"/>
      <c r="D3" s="39"/>
    </row>
    <row r="4" spans="1:22" s="4" customFormat="1" x14ac:dyDescent="0.2">
      <c r="A4" s="6"/>
      <c r="B4" s="1068" t="s">
        <v>185</v>
      </c>
      <c r="C4" s="1069" t="s">
        <v>183</v>
      </c>
      <c r="D4" s="1068" t="s">
        <v>184</v>
      </c>
      <c r="E4" s="1067" t="s">
        <v>0</v>
      </c>
      <c r="F4" s="1070" t="s">
        <v>1</v>
      </c>
      <c r="G4" s="1101" t="s">
        <v>196</v>
      </c>
      <c r="H4" s="1082" t="s">
        <v>201</v>
      </c>
      <c r="I4" s="1083" t="s">
        <v>189</v>
      </c>
      <c r="J4" s="1067" t="s">
        <v>197</v>
      </c>
      <c r="K4" s="1058" t="s">
        <v>32</v>
      </c>
      <c r="L4" s="1061" t="s">
        <v>192</v>
      </c>
      <c r="M4" s="1081" t="s">
        <v>196</v>
      </c>
      <c r="N4" s="1062"/>
      <c r="O4" s="1063"/>
      <c r="P4" s="541"/>
      <c r="Q4" s="1064" t="s">
        <v>202</v>
      </c>
      <c r="R4" s="1065"/>
      <c r="S4" s="1066"/>
      <c r="T4" s="1058" t="s">
        <v>32</v>
      </c>
      <c r="U4" s="1059" t="s">
        <v>200</v>
      </c>
      <c r="V4" s="1057" t="s">
        <v>368</v>
      </c>
    </row>
    <row r="5" spans="1:22" ht="32.25" thickBot="1" x14ac:dyDescent="0.25">
      <c r="A5" s="80"/>
      <c r="B5" s="1068"/>
      <c r="C5" s="1069"/>
      <c r="D5" s="1068"/>
      <c r="E5" s="1067"/>
      <c r="F5" s="1070"/>
      <c r="G5" s="1102"/>
      <c r="H5" s="1082"/>
      <c r="I5" s="1084"/>
      <c r="J5" s="1067"/>
      <c r="K5" s="1058"/>
      <c r="L5" s="1061"/>
      <c r="M5" s="558" t="s">
        <v>195</v>
      </c>
      <c r="N5" s="559"/>
      <c r="O5" s="560" t="s">
        <v>194</v>
      </c>
      <c r="P5" s="139"/>
      <c r="Q5" s="397" t="s">
        <v>195</v>
      </c>
      <c r="R5" s="403" t="s">
        <v>193</v>
      </c>
      <c r="S5" s="398" t="s">
        <v>194</v>
      </c>
      <c r="T5" s="1058"/>
      <c r="U5" s="1059"/>
      <c r="V5" s="1057"/>
    </row>
    <row r="6" spans="1:22" ht="16.5" thickBot="1" x14ac:dyDescent="0.25">
      <c r="A6" s="80"/>
      <c r="B6" s="488"/>
      <c r="C6" s="489"/>
      <c r="D6" s="490"/>
      <c r="E6" s="491"/>
      <c r="F6" s="488"/>
      <c r="G6" s="492"/>
      <c r="H6" s="482"/>
      <c r="I6" s="929">
        <v>0</v>
      </c>
      <c r="J6" s="359"/>
      <c r="K6" s="367"/>
      <c r="L6" s="562"/>
      <c r="M6" s="563"/>
      <c r="N6" s="418"/>
      <c r="O6" s="564"/>
      <c r="P6" s="124"/>
      <c r="Q6" s="563"/>
      <c r="R6" s="418"/>
      <c r="S6" s="563"/>
      <c r="T6" s="563"/>
      <c r="U6" s="565"/>
    </row>
    <row r="7" spans="1:22" x14ac:dyDescent="0.2">
      <c r="A7" s="34"/>
      <c r="B7" s="774"/>
      <c r="C7" s="658"/>
      <c r="D7" s="658"/>
      <c r="E7" s="660" t="s">
        <v>46</v>
      </c>
      <c r="F7" s="661"/>
      <c r="G7" s="662"/>
      <c r="H7" s="644"/>
      <c r="I7" s="468"/>
      <c r="J7" s="663"/>
      <c r="K7" s="620"/>
      <c r="L7" s="416"/>
      <c r="M7" s="1106"/>
      <c r="N7" s="1107"/>
      <c r="O7" s="1108"/>
      <c r="P7" s="385"/>
      <c r="Q7" s="1109"/>
      <c r="R7" s="1110"/>
      <c r="S7" s="1111"/>
      <c r="T7" s="712"/>
      <c r="U7" s="545"/>
      <c r="V7" s="651"/>
    </row>
    <row r="8" spans="1:22" ht="18" x14ac:dyDescent="0.2">
      <c r="A8" s="83"/>
      <c r="B8" s="769"/>
      <c r="C8" s="48"/>
      <c r="D8" s="48"/>
      <c r="E8" s="86" t="s">
        <v>374</v>
      </c>
      <c r="F8" s="75" t="s">
        <v>101</v>
      </c>
      <c r="G8" s="87" t="s">
        <v>198</v>
      </c>
      <c r="H8" s="897"/>
      <c r="I8" s="896">
        <f>$I$6</f>
        <v>0</v>
      </c>
      <c r="J8" s="88">
        <v>5</v>
      </c>
      <c r="K8" s="152">
        <f>I8/J8</f>
        <v>0</v>
      </c>
      <c r="L8" s="381">
        <f t="shared" ref="L8:L17" si="0">ROUNDUP(K8,0)</f>
        <v>0</v>
      </c>
      <c r="M8" s="1051">
        <f>ROUNDDOWN(L8/1,0)</f>
        <v>0</v>
      </c>
      <c r="N8" s="1052"/>
      <c r="O8" s="1053"/>
      <c r="P8" s="124"/>
      <c r="Q8" s="1076">
        <f>M8</f>
        <v>0</v>
      </c>
      <c r="R8" s="1077"/>
      <c r="S8" s="1078"/>
      <c r="T8" s="979">
        <f>(Q8*1)+S8</f>
        <v>0</v>
      </c>
      <c r="U8" s="450">
        <f>T8*5</f>
        <v>0</v>
      </c>
      <c r="V8" s="546" t="s">
        <v>312</v>
      </c>
    </row>
    <row r="9" spans="1:22" x14ac:dyDescent="0.2">
      <c r="A9" s="32"/>
      <c r="B9" s="769"/>
      <c r="C9" s="48"/>
      <c r="D9" s="48"/>
      <c r="E9" s="86" t="s">
        <v>375</v>
      </c>
      <c r="F9" s="75" t="s">
        <v>102</v>
      </c>
      <c r="G9" s="87" t="s">
        <v>199</v>
      </c>
      <c r="H9" s="897"/>
      <c r="I9" s="896">
        <f>$I$6</f>
        <v>0</v>
      </c>
      <c r="J9" s="88">
        <v>5</v>
      </c>
      <c r="K9" s="152">
        <f t="shared" ref="K9:K17" si="1">I9/J9</f>
        <v>0</v>
      </c>
      <c r="L9" s="381">
        <f t="shared" si="0"/>
        <v>0</v>
      </c>
      <c r="M9" s="1051">
        <f>ROUNDDOWN(L9/1,0)</f>
        <v>0</v>
      </c>
      <c r="N9" s="1052"/>
      <c r="O9" s="1053"/>
      <c r="P9" s="124"/>
      <c r="Q9" s="1076">
        <f>M9</f>
        <v>0</v>
      </c>
      <c r="R9" s="1077"/>
      <c r="S9" s="1078"/>
      <c r="T9" s="979">
        <f>(Q9*1)+S9</f>
        <v>0</v>
      </c>
      <c r="U9" s="450">
        <f>T9*1</f>
        <v>0</v>
      </c>
      <c r="V9" s="214" t="s">
        <v>317</v>
      </c>
    </row>
    <row r="10" spans="1:22" x14ac:dyDescent="0.2">
      <c r="A10" s="81"/>
      <c r="B10" s="771"/>
      <c r="C10" s="471"/>
      <c r="D10" s="471"/>
      <c r="E10" s="527" t="s">
        <v>47</v>
      </c>
      <c r="F10" s="510"/>
      <c r="G10" s="511"/>
      <c r="H10" s="878"/>
      <c r="I10" s="930"/>
      <c r="J10" s="512"/>
      <c r="K10" s="389"/>
      <c r="L10" s="428"/>
      <c r="M10" s="1085"/>
      <c r="N10" s="1086"/>
      <c r="O10" s="1087"/>
      <c r="P10" s="124"/>
      <c r="Q10" s="1091"/>
      <c r="R10" s="1092"/>
      <c r="S10" s="1093"/>
      <c r="T10" s="884"/>
      <c r="U10" s="449"/>
      <c r="V10" s="652"/>
    </row>
    <row r="11" spans="1:22" x14ac:dyDescent="0.2">
      <c r="A11" s="83"/>
      <c r="B11" s="769"/>
      <c r="C11" s="48"/>
      <c r="D11" s="48"/>
      <c r="E11" s="85" t="s">
        <v>376</v>
      </c>
      <c r="F11" s="73" t="s">
        <v>103</v>
      </c>
      <c r="G11" s="87" t="s">
        <v>3</v>
      </c>
      <c r="H11" s="901">
        <v>15</v>
      </c>
      <c r="I11" s="896">
        <f>$I$6</f>
        <v>0</v>
      </c>
      <c r="J11" s="88">
        <f>23/H11</f>
        <v>1.5333333333333334</v>
      </c>
      <c r="K11" s="152">
        <f t="shared" si="1"/>
        <v>0</v>
      </c>
      <c r="L11" s="381">
        <f t="shared" si="0"/>
        <v>0</v>
      </c>
      <c r="M11" s="432">
        <f>ROUNDDOWN(L11/40,0)</f>
        <v>0</v>
      </c>
      <c r="N11" s="378" t="s">
        <v>193</v>
      </c>
      <c r="O11" s="433">
        <f>MOD(L11,40)</f>
        <v>0</v>
      </c>
      <c r="P11" s="124"/>
      <c r="Q11" s="848">
        <f>M11</f>
        <v>0</v>
      </c>
      <c r="R11" s="805" t="s">
        <v>193</v>
      </c>
      <c r="S11" s="849">
        <f>O11</f>
        <v>0</v>
      </c>
      <c r="T11" s="979">
        <f>(Q11*40)+S11</f>
        <v>0</v>
      </c>
      <c r="U11" s="450">
        <f>T11*1</f>
        <v>0</v>
      </c>
      <c r="V11" s="214" t="s">
        <v>3</v>
      </c>
    </row>
    <row r="12" spans="1:22" x14ac:dyDescent="0.2">
      <c r="A12" s="83"/>
      <c r="B12" s="769"/>
      <c r="C12" s="48"/>
      <c r="D12" s="48"/>
      <c r="E12" s="516" t="s">
        <v>377</v>
      </c>
      <c r="F12" s="73" t="s">
        <v>104</v>
      </c>
      <c r="G12" s="87" t="s">
        <v>3</v>
      </c>
      <c r="H12" s="901">
        <v>15</v>
      </c>
      <c r="I12" s="896">
        <f>$I$6</f>
        <v>0</v>
      </c>
      <c r="J12" s="88">
        <f>23/H12</f>
        <v>1.5333333333333334</v>
      </c>
      <c r="K12" s="152">
        <f t="shared" si="1"/>
        <v>0</v>
      </c>
      <c r="L12" s="381">
        <f t="shared" si="0"/>
        <v>0</v>
      </c>
      <c r="M12" s="432">
        <f>ROUNDDOWN(L12/40,0)</f>
        <v>0</v>
      </c>
      <c r="N12" s="378" t="s">
        <v>193</v>
      </c>
      <c r="O12" s="433">
        <f>MOD(L12,40)</f>
        <v>0</v>
      </c>
      <c r="P12" s="124"/>
      <c r="Q12" s="848">
        <f>M12</f>
        <v>0</v>
      </c>
      <c r="R12" s="805" t="s">
        <v>193</v>
      </c>
      <c r="S12" s="849">
        <f>O12</f>
        <v>0</v>
      </c>
      <c r="T12" s="979">
        <f t="shared" ref="T12:T17" si="2">(Q12*40)+S12</f>
        <v>0</v>
      </c>
      <c r="U12" s="450">
        <f t="shared" ref="U12:U17" si="3">T12*1</f>
        <v>0</v>
      </c>
      <c r="V12" s="214" t="s">
        <v>3</v>
      </c>
    </row>
    <row r="13" spans="1:22" x14ac:dyDescent="0.2">
      <c r="A13" s="76"/>
      <c r="B13" s="771"/>
      <c r="C13" s="471"/>
      <c r="D13" s="471"/>
      <c r="E13" s="467" t="s">
        <v>48</v>
      </c>
      <c r="F13" s="510"/>
      <c r="G13" s="511"/>
      <c r="H13" s="931"/>
      <c r="I13" s="930"/>
      <c r="J13" s="512"/>
      <c r="K13" s="389"/>
      <c r="L13" s="428"/>
      <c r="M13" s="1085"/>
      <c r="N13" s="1086"/>
      <c r="O13" s="1087"/>
      <c r="P13" s="124"/>
      <c r="Q13" s="1091"/>
      <c r="R13" s="1092"/>
      <c r="S13" s="1093"/>
      <c r="T13" s="853"/>
      <c r="U13" s="449"/>
      <c r="V13" s="652"/>
    </row>
    <row r="14" spans="1:22" x14ac:dyDescent="0.2">
      <c r="A14" s="76"/>
      <c r="B14" s="769"/>
      <c r="C14" s="48"/>
      <c r="D14" s="48"/>
      <c r="E14" s="85" t="s">
        <v>373</v>
      </c>
      <c r="F14" s="73" t="s">
        <v>105</v>
      </c>
      <c r="G14" s="87" t="s">
        <v>3</v>
      </c>
      <c r="H14" s="901">
        <v>3</v>
      </c>
      <c r="I14" s="896">
        <f>$I$6</f>
        <v>0</v>
      </c>
      <c r="J14" s="88">
        <f>24/H14</f>
        <v>8</v>
      </c>
      <c r="K14" s="152">
        <f t="shared" si="1"/>
        <v>0</v>
      </c>
      <c r="L14" s="381">
        <f t="shared" si="0"/>
        <v>0</v>
      </c>
      <c r="M14" s="432">
        <f>ROUNDDOWN(L14/40,0)</f>
        <v>0</v>
      </c>
      <c r="N14" s="378" t="s">
        <v>193</v>
      </c>
      <c r="O14" s="433">
        <f>MOD(L14,40)</f>
        <v>0</v>
      </c>
      <c r="P14" s="386"/>
      <c r="Q14" s="848">
        <f>M14</f>
        <v>0</v>
      </c>
      <c r="R14" s="805" t="s">
        <v>193</v>
      </c>
      <c r="S14" s="849">
        <f>O14</f>
        <v>0</v>
      </c>
      <c r="T14" s="979">
        <f t="shared" si="2"/>
        <v>0</v>
      </c>
      <c r="U14" s="450">
        <f t="shared" si="3"/>
        <v>0</v>
      </c>
      <c r="V14" s="214" t="s">
        <v>3</v>
      </c>
    </row>
    <row r="15" spans="1:22" x14ac:dyDescent="0.2">
      <c r="A15" s="76"/>
      <c r="B15" s="771"/>
      <c r="C15" s="471"/>
      <c r="D15" s="471"/>
      <c r="E15" s="527" t="s">
        <v>49</v>
      </c>
      <c r="F15" s="510"/>
      <c r="G15" s="511"/>
      <c r="H15" s="931"/>
      <c r="I15" s="930"/>
      <c r="J15" s="512"/>
      <c r="K15" s="389"/>
      <c r="L15" s="428"/>
      <c r="M15" s="1085"/>
      <c r="N15" s="1086"/>
      <c r="O15" s="1087"/>
      <c r="P15" s="124"/>
      <c r="Q15" s="1091"/>
      <c r="R15" s="1092"/>
      <c r="S15" s="1093"/>
      <c r="T15" s="853"/>
      <c r="U15" s="449"/>
      <c r="V15" s="652"/>
    </row>
    <row r="16" spans="1:22" x14ac:dyDescent="0.2">
      <c r="A16" s="76"/>
      <c r="B16" s="769"/>
      <c r="C16" s="48"/>
      <c r="D16" s="48"/>
      <c r="E16" s="516" t="s">
        <v>378</v>
      </c>
      <c r="F16" s="73" t="s">
        <v>106</v>
      </c>
      <c r="G16" s="87" t="s">
        <v>3</v>
      </c>
      <c r="H16" s="901">
        <v>1</v>
      </c>
      <c r="I16" s="896">
        <f>$I$6</f>
        <v>0</v>
      </c>
      <c r="J16" s="88">
        <f>24/H16</f>
        <v>24</v>
      </c>
      <c r="K16" s="152">
        <f t="shared" si="1"/>
        <v>0</v>
      </c>
      <c r="L16" s="381">
        <f t="shared" si="0"/>
        <v>0</v>
      </c>
      <c r="M16" s="432">
        <f>ROUNDDOWN(L16/40,0)</f>
        <v>0</v>
      </c>
      <c r="N16" s="378" t="s">
        <v>193</v>
      </c>
      <c r="O16" s="433">
        <f>MOD(L16,40)</f>
        <v>0</v>
      </c>
      <c r="P16" s="124"/>
      <c r="Q16" s="848">
        <f>M16</f>
        <v>0</v>
      </c>
      <c r="R16" s="805" t="s">
        <v>193</v>
      </c>
      <c r="S16" s="849">
        <f>O16</f>
        <v>0</v>
      </c>
      <c r="T16" s="979">
        <f t="shared" si="2"/>
        <v>0</v>
      </c>
      <c r="U16" s="450">
        <f t="shared" si="3"/>
        <v>0</v>
      </c>
      <c r="V16" s="214" t="s">
        <v>3</v>
      </c>
    </row>
    <row r="17" spans="1:22" x14ac:dyDescent="0.2">
      <c r="A17" s="76"/>
      <c r="B17" s="769"/>
      <c r="C17" s="48"/>
      <c r="D17" s="48"/>
      <c r="E17" s="85" t="s">
        <v>379</v>
      </c>
      <c r="F17" s="73" t="s">
        <v>107</v>
      </c>
      <c r="G17" s="87" t="s">
        <v>6</v>
      </c>
      <c r="H17" s="932"/>
      <c r="I17" s="896">
        <f>$I$6</f>
        <v>0</v>
      </c>
      <c r="J17" s="88">
        <v>22</v>
      </c>
      <c r="K17" s="447">
        <f t="shared" si="1"/>
        <v>0</v>
      </c>
      <c r="L17" s="399">
        <f t="shared" si="0"/>
        <v>0</v>
      </c>
      <c r="M17" s="538">
        <f>ROUNDDOWN(L17/32,0)</f>
        <v>0</v>
      </c>
      <c r="N17" s="401" t="s">
        <v>193</v>
      </c>
      <c r="O17" s="434">
        <f>MOD(L17,32)</f>
        <v>0</v>
      </c>
      <c r="P17" s="600"/>
      <c r="Q17" s="854">
        <f>M17</f>
        <v>0</v>
      </c>
      <c r="R17" s="855" t="s">
        <v>193</v>
      </c>
      <c r="S17" s="856">
        <f>O17</f>
        <v>0</v>
      </c>
      <c r="T17" s="980">
        <f t="shared" si="2"/>
        <v>0</v>
      </c>
      <c r="U17" s="542">
        <f t="shared" si="3"/>
        <v>0</v>
      </c>
      <c r="V17" s="709" t="s">
        <v>308</v>
      </c>
    </row>
    <row r="18" spans="1:22" x14ac:dyDescent="0.2">
      <c r="B18" s="517" t="s">
        <v>263</v>
      </c>
      <c r="C18" s="251"/>
      <c r="D18" s="251"/>
      <c r="E18" s="276"/>
      <c r="F18" s="266"/>
      <c r="G18" s="267"/>
      <c r="H18" s="269"/>
      <c r="I18" s="269"/>
      <c r="J18" s="268"/>
      <c r="K18" s="133"/>
      <c r="L18" s="379"/>
      <c r="M18" s="1086"/>
      <c r="N18" s="1086"/>
      <c r="O18" s="1086"/>
      <c r="P18" s="124"/>
      <c r="Q18" s="1100"/>
      <c r="R18" s="1100"/>
      <c r="S18" s="1100"/>
      <c r="T18" s="541"/>
      <c r="U18" s="124"/>
    </row>
    <row r="19" spans="1:22" x14ac:dyDescent="0.2">
      <c r="B19" s="246"/>
      <c r="C19" s="246"/>
      <c r="D19" s="246"/>
      <c r="E19" s="247"/>
      <c r="F19" s="248"/>
      <c r="G19" s="249"/>
      <c r="H19" s="249"/>
      <c r="I19" s="220"/>
      <c r="J19" s="249"/>
      <c r="K19" s="133"/>
      <c r="L19" s="379"/>
      <c r="M19" s="1086"/>
      <c r="N19" s="1086"/>
      <c r="O19" s="1086"/>
      <c r="P19" s="124"/>
      <c r="Q19" s="1100"/>
      <c r="R19" s="1100"/>
      <c r="S19" s="1100"/>
      <c r="T19" s="541"/>
      <c r="U19" s="124"/>
    </row>
    <row r="20" spans="1:22" x14ac:dyDescent="0.2">
      <c r="B20" s="43" t="s">
        <v>42</v>
      </c>
      <c r="C20" s="43"/>
      <c r="D20" s="43"/>
      <c r="E20" s="50"/>
      <c r="F20" s="43"/>
      <c r="G20" s="50"/>
      <c r="H20" s="46"/>
      <c r="I20" s="47"/>
      <c r="J20" s="46"/>
    </row>
    <row r="21" spans="1:22" x14ac:dyDescent="0.2">
      <c r="B21" s="43"/>
      <c r="C21" s="43"/>
      <c r="D21" s="43"/>
      <c r="E21" s="50"/>
      <c r="F21" s="43"/>
      <c r="G21" s="50"/>
      <c r="H21" s="46"/>
      <c r="I21" s="47"/>
      <c r="J21" s="46"/>
    </row>
    <row r="22" spans="1:22" x14ac:dyDescent="0.2">
      <c r="B22" s="43"/>
      <c r="C22" s="43"/>
      <c r="D22" s="43"/>
      <c r="E22" s="50"/>
      <c r="F22" s="43"/>
      <c r="G22" s="50"/>
      <c r="H22" s="46"/>
      <c r="I22" s="47"/>
      <c r="J22" s="46"/>
    </row>
    <row r="23" spans="1:22" x14ac:dyDescent="0.2">
      <c r="B23" s="43"/>
      <c r="C23" s="43"/>
      <c r="D23" s="43"/>
      <c r="E23" s="895"/>
      <c r="F23" s="891"/>
      <c r="G23" s="892"/>
      <c r="H23" s="893"/>
      <c r="I23" s="50"/>
      <c r="J23" s="892"/>
    </row>
    <row r="24" spans="1:22" x14ac:dyDescent="0.2">
      <c r="B24" s="43"/>
      <c r="C24" s="43"/>
      <c r="D24" s="43"/>
      <c r="E24" s="895"/>
      <c r="F24" s="891"/>
      <c r="G24" s="892"/>
      <c r="H24" s="893"/>
      <c r="I24" s="50"/>
      <c r="J24" s="892"/>
    </row>
  </sheetData>
  <sheetProtection password="C133" sheet="1" insertRows="0"/>
  <protectedRanges>
    <protectedRange sqref="B1:D1" name="Bereich1_1_1_1_1_1_1_1_1"/>
    <protectedRange sqref="B2:D2 A1:A3" name="Bereich1_1_1_1_1_1_1_1"/>
    <protectedRange sqref="E1:J3" name="Bereich1_1_1_1_1_1_1_1_5"/>
    <protectedRange sqref="A4" name="Bereich1_1_1_1_1_1_1_1_4_1"/>
    <protectedRange sqref="G4" name="Bereich1_1_1_1_1_1_1_1_3_1_2"/>
    <protectedRange sqref="E4" name="Bereich1_1_1_1_1_1_1_1_3_1_4"/>
    <protectedRange sqref="D4" name="Bereich1_1_1_1_1_1_1_1_3_1_1_3"/>
    <protectedRange sqref="C4" name="Bereich1_1_1_1_1_1_1_1_3_1_1_4"/>
    <protectedRange sqref="B4" name="Bereich1_1_1_1_1_1_1_1_3_1_1_5"/>
    <protectedRange sqref="F4" name="Bereich1_1_1_1_1_1_1_1_3_1_5"/>
    <protectedRange sqref="H4:I4" name="Bereich1_1_1_1_1_1_1_1_3_1_6"/>
    <protectedRange sqref="J4" name="Bereich1_1_1_1_1_1_1_1_3_1_6_1"/>
    <protectedRange sqref="L4" name="Bereich1_1_1_1_1_1_1_1_3_1_2_5"/>
    <protectedRange sqref="K4" name="Bereich1_1_1_1_1_1_1_1_3_1_2_6"/>
    <protectedRange sqref="T4" name="Bereich1_1_1_1_1_1_1_1_3_1_2_4"/>
  </protectedRanges>
  <mergeCells count="32">
    <mergeCell ref="V4:V5"/>
    <mergeCell ref="U4:U5"/>
    <mergeCell ref="G4:G5"/>
    <mergeCell ref="K4:K5"/>
    <mergeCell ref="L4:L5"/>
    <mergeCell ref="T4:T5"/>
    <mergeCell ref="M4:O4"/>
    <mergeCell ref="Q4:S4"/>
    <mergeCell ref="H4:H5"/>
    <mergeCell ref="I4:I5"/>
    <mergeCell ref="J4:J5"/>
    <mergeCell ref="B4:B5"/>
    <mergeCell ref="C4:C5"/>
    <mergeCell ref="D4:D5"/>
    <mergeCell ref="E4:E5"/>
    <mergeCell ref="F4:F5"/>
    <mergeCell ref="M10:O10"/>
    <mergeCell ref="Q10:S10"/>
    <mergeCell ref="M7:O7"/>
    <mergeCell ref="Q7:S7"/>
    <mergeCell ref="M8:O8"/>
    <mergeCell ref="Q8:S8"/>
    <mergeCell ref="M9:O9"/>
    <mergeCell ref="Q9:S9"/>
    <mergeCell ref="M18:O18"/>
    <mergeCell ref="Q18:S18"/>
    <mergeCell ref="M19:O19"/>
    <mergeCell ref="Q19:S19"/>
    <mergeCell ref="M13:O13"/>
    <mergeCell ref="Q13:S13"/>
    <mergeCell ref="M15:O15"/>
    <mergeCell ref="Q15:S15"/>
  </mergeCells>
  <pageMargins left="0.25" right="0.25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18</vt:i4>
      </vt:variant>
    </vt:vector>
  </HeadingPairs>
  <TitlesOfParts>
    <vt:vector size="18" baseType="lpstr">
      <vt:lpstr>START</vt:lpstr>
      <vt:lpstr>YOSIMA, CLAYFIX etc.</vt:lpstr>
      <vt:lpstr>Lehmputz</vt:lpstr>
      <vt:lpstr>LBP Beplank.</vt:lpstr>
      <vt:lpstr>HFA Beplank.</vt:lpstr>
      <vt:lpstr>LBP+HFA Bekleid.</vt:lpstr>
      <vt:lpstr>FW Lehmsteine</vt:lpstr>
      <vt:lpstr>FW Flechtwerk</vt:lpstr>
      <vt:lpstr>Kalkputz</vt:lpstr>
      <vt:lpstr>Innend. HFD</vt:lpstr>
      <vt:lpstr>Innend. Leicht, LL-Steine</vt:lpstr>
      <vt:lpstr>Mauerwerk</vt:lpstr>
      <vt:lpstr>ZUSAMMENSTELLUNG</vt:lpstr>
      <vt:lpstr>Tabelle3</vt:lpstr>
      <vt:lpstr>Tabelle1</vt:lpstr>
      <vt:lpstr>Fläche-Volumen</vt:lpstr>
      <vt:lpstr>Befestigungsmittel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CLAYTEC Mengenrechner</dc:title>
  <dc:creator>u.roehlen@claytec.com</dc:creator>
  <cp:lastModifiedBy>Ulrich Röhlen</cp:lastModifiedBy>
  <cp:lastPrinted>2020-06-09T10:37:45Z</cp:lastPrinted>
  <dcterms:created xsi:type="dcterms:W3CDTF">2005-04-27T15:56:53Z</dcterms:created>
  <dcterms:modified xsi:type="dcterms:W3CDTF">2025-11-11T06:20:26Z</dcterms:modified>
</cp:coreProperties>
</file>